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6286\Documents\KIF Kärra\P11\"/>
    </mc:Choice>
  </mc:AlternateContent>
  <xr:revisionPtr revIDLastSave="0" documentId="8_{494326A4-FAEC-4106-905C-6C5E2A65E64F}" xr6:coauthVersionLast="47" xr6:coauthVersionMax="47" xr10:uidLastSave="{00000000-0000-0000-0000-000000000000}"/>
  <bookViews>
    <workbookView xWindow="28680" yWindow="-120" windowWidth="29040" windowHeight="15840" tabRatio="844" activeTab="1" xr2:uid="{00000000-000D-0000-FFFF-FFFF00000000}"/>
  </bookViews>
  <sheets>
    <sheet name="Poäng &amp; instruktioner" sheetId="9" r:id="rId1"/>
    <sheet name="Resultat &amp; tabell" sheetId="6" r:id="rId2"/>
    <sheet name="Mitt tips" sheetId="21" r:id="rId3"/>
    <sheet name="Exempel" sheetId="22" r:id="rId4"/>
  </sheets>
  <definedNames>
    <definedName name="_xlnm._FilterDatabase" localSheetId="3" hidden="1">Exempel!$M$4:$M$7</definedName>
    <definedName name="_xlnm._FilterDatabase" localSheetId="2" hidden="1">'Mitt tips'!$M$4:$M$7</definedName>
    <definedName name="_xlnm._FilterDatabase" localSheetId="1" hidden="1">'Resultat &amp; tabell'!$BQ$3:$BR$3</definedName>
    <definedName name="_xlnm.Criteria" localSheetId="3">Exempel!#REF!</definedName>
    <definedName name="_xlnm.Criteria" localSheetId="2">'Mitt tips'!#REF!</definedName>
    <definedName name="_xlnm.Criteria" localSheetId="1">'Resultat &amp; tabell'!#REF!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119" i="22" l="1"/>
  <c r="BL119" i="22"/>
  <c r="BN119" i="22" s="1"/>
  <c r="BM118" i="22"/>
  <c r="BM114" i="22"/>
  <c r="BM113" i="22"/>
  <c r="BM109" i="22"/>
  <c r="BM108" i="22"/>
  <c r="BM107" i="22"/>
  <c r="BM106" i="22"/>
  <c r="BG103" i="22"/>
  <c r="BE103" i="22"/>
  <c r="K103" i="22"/>
  <c r="J103" i="22"/>
  <c r="BH103" i="22" s="1"/>
  <c r="F103" i="22"/>
  <c r="BD103" i="22" s="1"/>
  <c r="D103" i="22"/>
  <c r="BM102" i="22"/>
  <c r="BM101" i="22"/>
  <c r="BM100" i="22"/>
  <c r="BM99" i="22"/>
  <c r="BG99" i="22"/>
  <c r="BE99" i="22"/>
  <c r="K99" i="22"/>
  <c r="T17" i="22" s="1"/>
  <c r="J99" i="22"/>
  <c r="BH99" i="22" s="1"/>
  <c r="BM98" i="22"/>
  <c r="BM97" i="22"/>
  <c r="BM96" i="22"/>
  <c r="BM95" i="22"/>
  <c r="BG95" i="22"/>
  <c r="BE95" i="22"/>
  <c r="BI95" i="22" s="1"/>
  <c r="BD95" i="22"/>
  <c r="K95" i="22"/>
  <c r="J95" i="22"/>
  <c r="BH95" i="22" s="1"/>
  <c r="F95" i="22"/>
  <c r="BL109" i="22" s="1"/>
  <c r="D95" i="22"/>
  <c r="BG94" i="22"/>
  <c r="BE94" i="22"/>
  <c r="BD94" i="22"/>
  <c r="K94" i="22"/>
  <c r="J94" i="22"/>
  <c r="BH94" i="22" s="1"/>
  <c r="BI94" i="22" s="1"/>
  <c r="F94" i="22"/>
  <c r="BL108" i="22" s="1"/>
  <c r="D94" i="22"/>
  <c r="BM91" i="22"/>
  <c r="BM90" i="22"/>
  <c r="BG90" i="22"/>
  <c r="BE90" i="22"/>
  <c r="K90" i="22"/>
  <c r="J90" i="22"/>
  <c r="BH90" i="22" s="1"/>
  <c r="F90" i="22"/>
  <c r="BL102" i="22" s="1"/>
  <c r="BN102" i="22" s="1"/>
  <c r="D90" i="22"/>
  <c r="BB90" i="22" s="1"/>
  <c r="BM89" i="22"/>
  <c r="BG89" i="22"/>
  <c r="BE89" i="22"/>
  <c r="K89" i="22"/>
  <c r="J89" i="22"/>
  <c r="BH89" i="22" s="1"/>
  <c r="F89" i="22"/>
  <c r="BL101" i="22" s="1"/>
  <c r="BN101" i="22" s="1"/>
  <c r="D89" i="22"/>
  <c r="BB89" i="22" s="1"/>
  <c r="BM88" i="22"/>
  <c r="BG88" i="22"/>
  <c r="BE88" i="22"/>
  <c r="K88" i="22"/>
  <c r="J88" i="22"/>
  <c r="BH88" i="22" s="1"/>
  <c r="F88" i="22"/>
  <c r="BL100" i="22" s="1"/>
  <c r="BN100" i="22" s="1"/>
  <c r="D88" i="22"/>
  <c r="BL96" i="22" s="1"/>
  <c r="BN96" i="22" s="1"/>
  <c r="BM87" i="22"/>
  <c r="BG87" i="22"/>
  <c r="BE87" i="22"/>
  <c r="K87" i="22"/>
  <c r="T15" i="22" s="1"/>
  <c r="J87" i="22"/>
  <c r="BH87" i="22" s="1"/>
  <c r="BI87" i="22" s="1"/>
  <c r="F87" i="22"/>
  <c r="BL99" i="22" s="1"/>
  <c r="BN99" i="22" s="1"/>
  <c r="BO99" i="22" s="1"/>
  <c r="D87" i="22"/>
  <c r="BL95" i="22" s="1"/>
  <c r="BN95" i="22" s="1"/>
  <c r="BO95" i="22" s="1"/>
  <c r="BM85" i="22"/>
  <c r="BM84" i="22"/>
  <c r="BM83" i="22"/>
  <c r="BG83" i="22"/>
  <c r="BE83" i="22"/>
  <c r="K83" i="22"/>
  <c r="J83" i="22"/>
  <c r="BH83" i="22" s="1"/>
  <c r="BI83" i="22" s="1"/>
  <c r="BM82" i="22"/>
  <c r="BG82" i="22"/>
  <c r="BE82" i="22"/>
  <c r="K82" i="22"/>
  <c r="J82" i="22"/>
  <c r="BH82" i="22" s="1"/>
  <c r="BI82" i="22" s="1"/>
  <c r="BM81" i="22"/>
  <c r="BG81" i="22"/>
  <c r="BE81" i="22"/>
  <c r="K81" i="22"/>
  <c r="T14" i="22" s="1"/>
  <c r="J81" i="22"/>
  <c r="BH81" i="22" s="1"/>
  <c r="BM80" i="22"/>
  <c r="BG80" i="22"/>
  <c r="BE80" i="22"/>
  <c r="K80" i="22"/>
  <c r="J80" i="22"/>
  <c r="BH80" i="22" s="1"/>
  <c r="BM79" i="22"/>
  <c r="BG79" i="22"/>
  <c r="BE79" i="22"/>
  <c r="K79" i="22"/>
  <c r="J79" i="22"/>
  <c r="BH79" i="22" s="1"/>
  <c r="BM78" i="22"/>
  <c r="BG78" i="22"/>
  <c r="BE78" i="22"/>
  <c r="K78" i="22"/>
  <c r="J78" i="22"/>
  <c r="BH78" i="22" s="1"/>
  <c r="BG77" i="22"/>
  <c r="BE77" i="22"/>
  <c r="K77" i="22"/>
  <c r="J77" i="22"/>
  <c r="BH77" i="22" s="1"/>
  <c r="BI77" i="22" s="1"/>
  <c r="BM76" i="22"/>
  <c r="BG76" i="22"/>
  <c r="BE76" i="22"/>
  <c r="K76" i="22"/>
  <c r="J76" i="22"/>
  <c r="BH76" i="22" s="1"/>
  <c r="BI76" i="22" s="1"/>
  <c r="AG72" i="22"/>
  <c r="AF72" i="22"/>
  <c r="AE72" i="22"/>
  <c r="AD72" i="22"/>
  <c r="AC72" i="22"/>
  <c r="AB72" i="22"/>
  <c r="AA72" i="22"/>
  <c r="Z72" i="22"/>
  <c r="K72" i="22"/>
  <c r="J72" i="22"/>
  <c r="AG71" i="22"/>
  <c r="AF71" i="22"/>
  <c r="AE71" i="22"/>
  <c r="AD71" i="22"/>
  <c r="AC71" i="22"/>
  <c r="AB71" i="22"/>
  <c r="AA71" i="22"/>
  <c r="Z71" i="22"/>
  <c r="M71" i="22"/>
  <c r="K71" i="22"/>
  <c r="J71" i="22"/>
  <c r="AG70" i="22"/>
  <c r="AF70" i="22"/>
  <c r="AE70" i="22"/>
  <c r="AD70" i="22"/>
  <c r="AC70" i="22"/>
  <c r="AB70" i="22"/>
  <c r="AA70" i="22"/>
  <c r="Z70" i="22"/>
  <c r="K70" i="22"/>
  <c r="J70" i="22"/>
  <c r="AO69" i="22"/>
  <c r="AG69" i="22"/>
  <c r="AF69" i="22"/>
  <c r="AE69" i="22"/>
  <c r="AD69" i="22"/>
  <c r="AC69" i="22"/>
  <c r="AB69" i="22"/>
  <c r="AA69" i="22"/>
  <c r="Z69" i="22"/>
  <c r="K69" i="22"/>
  <c r="J69" i="22"/>
  <c r="AG68" i="22"/>
  <c r="AF68" i="22"/>
  <c r="AE68" i="22"/>
  <c r="AD68" i="22"/>
  <c r="AC68" i="22"/>
  <c r="AB68" i="22"/>
  <c r="AP67" i="22" s="1"/>
  <c r="AA68" i="22"/>
  <c r="Z68" i="22"/>
  <c r="K68" i="22"/>
  <c r="J68" i="22"/>
  <c r="AQ67" i="22"/>
  <c r="AG67" i="22"/>
  <c r="AF67" i="22"/>
  <c r="AE67" i="22"/>
  <c r="AD67" i="22"/>
  <c r="AC67" i="22"/>
  <c r="AB67" i="22"/>
  <c r="AA67" i="22"/>
  <c r="Z67" i="22"/>
  <c r="AQ70" i="22" s="1"/>
  <c r="K67" i="22"/>
  <c r="J67" i="22"/>
  <c r="AG63" i="22"/>
  <c r="AF63" i="22"/>
  <c r="AE63" i="22"/>
  <c r="AD63" i="22"/>
  <c r="AC63" i="22"/>
  <c r="AB63" i="22"/>
  <c r="AA63" i="22"/>
  <c r="Z63" i="22"/>
  <c r="K63" i="22"/>
  <c r="J63" i="22"/>
  <c r="AG62" i="22"/>
  <c r="AF62" i="22"/>
  <c r="AE62" i="22"/>
  <c r="AD62" i="22"/>
  <c r="AC62" i="22"/>
  <c r="AB62" i="22"/>
  <c r="AA62" i="22"/>
  <c r="Z62" i="22"/>
  <c r="M62" i="22"/>
  <c r="K62" i="22"/>
  <c r="J62" i="22"/>
  <c r="AG61" i="22"/>
  <c r="AF61" i="22"/>
  <c r="AE61" i="22"/>
  <c r="AD61" i="22"/>
  <c r="AC61" i="22"/>
  <c r="AB61" i="22"/>
  <c r="AA61" i="22"/>
  <c r="Z61" i="22"/>
  <c r="K61" i="22"/>
  <c r="J61" i="22"/>
  <c r="AP60" i="22"/>
  <c r="AG60" i="22"/>
  <c r="AF60" i="22"/>
  <c r="AE60" i="22"/>
  <c r="AD60" i="22"/>
  <c r="AC60" i="22"/>
  <c r="AB60" i="22"/>
  <c r="AA60" i="22"/>
  <c r="Z60" i="22"/>
  <c r="K60" i="22"/>
  <c r="J60" i="22"/>
  <c r="AG59" i="22"/>
  <c r="AF59" i="22"/>
  <c r="AE59" i="22"/>
  <c r="AD59" i="22"/>
  <c r="AC59" i="22"/>
  <c r="AB59" i="22"/>
  <c r="AA59" i="22"/>
  <c r="Z59" i="22"/>
  <c r="K59" i="22"/>
  <c r="J59" i="22"/>
  <c r="AG58" i="22"/>
  <c r="AF58" i="22"/>
  <c r="AE58" i="22"/>
  <c r="AD58" i="22"/>
  <c r="AC58" i="22"/>
  <c r="AB58" i="22"/>
  <c r="AA58" i="22"/>
  <c r="Z58" i="22"/>
  <c r="K58" i="22"/>
  <c r="J58" i="22"/>
  <c r="AG54" i="22"/>
  <c r="AQ51" i="22" s="1"/>
  <c r="AF54" i="22"/>
  <c r="AE54" i="22"/>
  <c r="AD54" i="22"/>
  <c r="AC54" i="22"/>
  <c r="AB54" i="22"/>
  <c r="AA54" i="22"/>
  <c r="Z54" i="22"/>
  <c r="K54" i="22"/>
  <c r="J54" i="22"/>
  <c r="AG53" i="22"/>
  <c r="AF53" i="22"/>
  <c r="AE53" i="22"/>
  <c r="AD53" i="22"/>
  <c r="AC53" i="22"/>
  <c r="AB53" i="22"/>
  <c r="AA53" i="22"/>
  <c r="Z53" i="22"/>
  <c r="M53" i="22"/>
  <c r="K53" i="22"/>
  <c r="J53" i="22"/>
  <c r="AG52" i="22"/>
  <c r="AF52" i="22"/>
  <c r="AE52" i="22"/>
  <c r="AD52" i="22"/>
  <c r="AC52" i="22"/>
  <c r="AB52" i="22"/>
  <c r="AA52" i="22"/>
  <c r="Z52" i="22"/>
  <c r="K52" i="22"/>
  <c r="J52" i="22"/>
  <c r="AG51" i="22"/>
  <c r="AF51" i="22"/>
  <c r="AE51" i="22"/>
  <c r="AD51" i="22"/>
  <c r="AC51" i="22"/>
  <c r="AB51" i="22"/>
  <c r="AA51" i="22"/>
  <c r="Z51" i="22"/>
  <c r="K51" i="22"/>
  <c r="J51" i="22"/>
  <c r="AG50" i="22"/>
  <c r="AF50" i="22"/>
  <c r="AE50" i="22"/>
  <c r="AD50" i="22"/>
  <c r="AC50" i="22"/>
  <c r="AB50" i="22"/>
  <c r="AA50" i="22"/>
  <c r="Z50" i="22"/>
  <c r="K50" i="22"/>
  <c r="J50" i="22"/>
  <c r="AG49" i="22"/>
  <c r="AF49" i="22"/>
  <c r="AE49" i="22"/>
  <c r="AD49" i="22"/>
  <c r="AC49" i="22"/>
  <c r="AB49" i="22"/>
  <c r="AA49" i="22"/>
  <c r="Z49" i="22"/>
  <c r="AP51" i="22" s="1"/>
  <c r="K49" i="22"/>
  <c r="J49" i="22"/>
  <c r="AG45" i="22"/>
  <c r="AF45" i="22"/>
  <c r="AE45" i="22"/>
  <c r="AD45" i="22"/>
  <c r="AC45" i="22"/>
  <c r="AB45" i="22"/>
  <c r="AA45" i="22"/>
  <c r="Z45" i="22"/>
  <c r="K45" i="22"/>
  <c r="J45" i="22"/>
  <c r="AG44" i="22"/>
  <c r="AF44" i="22"/>
  <c r="AE44" i="22"/>
  <c r="AD44" i="22"/>
  <c r="AC44" i="22"/>
  <c r="AB44" i="22"/>
  <c r="AA44" i="22"/>
  <c r="Z44" i="22"/>
  <c r="M44" i="22"/>
  <c r="K44" i="22"/>
  <c r="J44" i="22"/>
  <c r="AG43" i="22"/>
  <c r="AF43" i="22"/>
  <c r="AE43" i="22"/>
  <c r="AD43" i="22"/>
  <c r="AC43" i="22"/>
  <c r="AB43" i="22"/>
  <c r="AA43" i="22"/>
  <c r="Z43" i="22"/>
  <c r="K43" i="22"/>
  <c r="J43" i="22"/>
  <c r="AG42" i="22"/>
  <c r="AF42" i="22"/>
  <c r="AE42" i="22"/>
  <c r="AD42" i="22"/>
  <c r="AC42" i="22"/>
  <c r="AB42" i="22"/>
  <c r="AA42" i="22"/>
  <c r="Z42" i="22"/>
  <c r="AO43" i="22" s="1"/>
  <c r="K42" i="22"/>
  <c r="J42" i="22"/>
  <c r="AG41" i="22"/>
  <c r="AF41" i="22"/>
  <c r="AE41" i="22"/>
  <c r="AD41" i="22"/>
  <c r="AC41" i="22"/>
  <c r="AB41" i="22"/>
  <c r="AA41" i="22"/>
  <c r="Z41" i="22"/>
  <c r="K41" i="22"/>
  <c r="J41" i="22"/>
  <c r="AG40" i="22"/>
  <c r="AF40" i="22"/>
  <c r="AE40" i="22"/>
  <c r="AD40" i="22"/>
  <c r="AC40" i="22"/>
  <c r="AB40" i="22"/>
  <c r="AA40" i="22"/>
  <c r="Z40" i="22"/>
  <c r="K40" i="22"/>
  <c r="J40" i="22"/>
  <c r="AF37" i="22"/>
  <c r="AE37" i="22"/>
  <c r="AC37" i="22"/>
  <c r="AA37" i="22"/>
  <c r="J37" i="22"/>
  <c r="AG36" i="22"/>
  <c r="AF36" i="22"/>
  <c r="AE36" i="22"/>
  <c r="AD36" i="22"/>
  <c r="AC36" i="22"/>
  <c r="AB36" i="22"/>
  <c r="AA36" i="22"/>
  <c r="Z36" i="22"/>
  <c r="K36" i="22"/>
  <c r="J36" i="22"/>
  <c r="AG35" i="22"/>
  <c r="AF35" i="22"/>
  <c r="AE35" i="22"/>
  <c r="AD35" i="22"/>
  <c r="AC35" i="22"/>
  <c r="AB35" i="22"/>
  <c r="AA35" i="22"/>
  <c r="Z35" i="22"/>
  <c r="M35" i="22"/>
  <c r="K35" i="22"/>
  <c r="J35" i="22"/>
  <c r="AG34" i="22"/>
  <c r="AF34" i="22"/>
  <c r="AE34" i="22"/>
  <c r="AD34" i="22"/>
  <c r="AC34" i="22"/>
  <c r="AB34" i="22"/>
  <c r="AA34" i="22"/>
  <c r="Z34" i="22"/>
  <c r="K34" i="22"/>
  <c r="J34" i="22"/>
  <c r="AG33" i="22"/>
  <c r="AF33" i="22"/>
  <c r="AE33" i="22"/>
  <c r="AD33" i="22"/>
  <c r="AC33" i="22"/>
  <c r="AB33" i="22"/>
  <c r="AA33" i="22"/>
  <c r="Z33" i="22"/>
  <c r="K33" i="22"/>
  <c r="J33" i="22"/>
  <c r="AG32" i="22"/>
  <c r="AF32" i="22"/>
  <c r="AE32" i="22"/>
  <c r="AD32" i="22"/>
  <c r="AC32" i="22"/>
  <c r="AB32" i="22"/>
  <c r="AA32" i="22"/>
  <c r="AO32" i="22" s="1"/>
  <c r="Z32" i="22"/>
  <c r="K32" i="22"/>
  <c r="J32" i="22"/>
  <c r="AG31" i="22"/>
  <c r="AF31" i="22"/>
  <c r="AE31" i="22"/>
  <c r="AD31" i="22"/>
  <c r="AC31" i="22"/>
  <c r="AB31" i="22"/>
  <c r="AA31" i="22"/>
  <c r="Z31" i="22"/>
  <c r="K31" i="22"/>
  <c r="J31" i="22"/>
  <c r="AG27" i="22"/>
  <c r="AF27" i="22"/>
  <c r="AE27" i="22"/>
  <c r="AD27" i="22"/>
  <c r="AC27" i="22"/>
  <c r="AB27" i="22"/>
  <c r="AA27" i="22"/>
  <c r="Z27" i="22"/>
  <c r="K27" i="22"/>
  <c r="J27" i="22"/>
  <c r="AG26" i="22"/>
  <c r="AF26" i="22"/>
  <c r="AE26" i="22"/>
  <c r="AD26" i="22"/>
  <c r="AC26" i="22"/>
  <c r="AB26" i="22"/>
  <c r="AA26" i="22"/>
  <c r="Z26" i="22"/>
  <c r="M26" i="22"/>
  <c r="K26" i="22"/>
  <c r="J26" i="22"/>
  <c r="AG25" i="22"/>
  <c r="AF25" i="22"/>
  <c r="AE25" i="22"/>
  <c r="AD25" i="22"/>
  <c r="AC25" i="22"/>
  <c r="AB25" i="22"/>
  <c r="AA25" i="22"/>
  <c r="Z25" i="22"/>
  <c r="K25" i="22"/>
  <c r="J25" i="22"/>
  <c r="AG24" i="22"/>
  <c r="AF24" i="22"/>
  <c r="AE24" i="22"/>
  <c r="AD24" i="22"/>
  <c r="AC24" i="22"/>
  <c r="AB24" i="22"/>
  <c r="AA24" i="22"/>
  <c r="Z24" i="22"/>
  <c r="K24" i="22"/>
  <c r="J24" i="22"/>
  <c r="AG23" i="22"/>
  <c r="AF23" i="22"/>
  <c r="AE23" i="22"/>
  <c r="AD23" i="22"/>
  <c r="AC23" i="22"/>
  <c r="AB23" i="22"/>
  <c r="AA23" i="22"/>
  <c r="Z23" i="22"/>
  <c r="K23" i="22"/>
  <c r="J23" i="22"/>
  <c r="AG22" i="22"/>
  <c r="AF22" i="22"/>
  <c r="AE22" i="22"/>
  <c r="AD22" i="22"/>
  <c r="AC22" i="22"/>
  <c r="AB22" i="22"/>
  <c r="AA22" i="22"/>
  <c r="Z22" i="22"/>
  <c r="K22" i="22"/>
  <c r="J22" i="22"/>
  <c r="AG18" i="22"/>
  <c r="AF18" i="22"/>
  <c r="AE18" i="22"/>
  <c r="AD18" i="22"/>
  <c r="AC18" i="22"/>
  <c r="AB18" i="22"/>
  <c r="AA18" i="22"/>
  <c r="Z18" i="22"/>
  <c r="T18" i="22"/>
  <c r="K18" i="22"/>
  <c r="J18" i="22"/>
  <c r="AG17" i="22"/>
  <c r="AF17" i="22"/>
  <c r="AE17" i="22"/>
  <c r="AD17" i="22"/>
  <c r="AC17" i="22"/>
  <c r="AB17" i="22"/>
  <c r="AA17" i="22"/>
  <c r="Z17" i="22"/>
  <c r="M17" i="22"/>
  <c r="K17" i="22"/>
  <c r="J17" i="22"/>
  <c r="AO16" i="22"/>
  <c r="AG16" i="22"/>
  <c r="AF16" i="22"/>
  <c r="AE16" i="22"/>
  <c r="AD16" i="22"/>
  <c r="AC16" i="22"/>
  <c r="AB16" i="22"/>
  <c r="AA16" i="22"/>
  <c r="Z16" i="22"/>
  <c r="T16" i="22"/>
  <c r="K16" i="22"/>
  <c r="J16" i="22"/>
  <c r="AO15" i="22"/>
  <c r="AG15" i="22"/>
  <c r="AF15" i="22"/>
  <c r="AE15" i="22"/>
  <c r="AD15" i="22"/>
  <c r="AC15" i="22"/>
  <c r="AB15" i="22"/>
  <c r="AA15" i="22"/>
  <c r="Z15" i="22"/>
  <c r="K15" i="22"/>
  <c r="J15" i="22"/>
  <c r="AG14" i="22"/>
  <c r="AF14" i="22"/>
  <c r="AE14" i="22"/>
  <c r="AD14" i="22"/>
  <c r="AC14" i="22"/>
  <c r="AB14" i="22"/>
  <c r="AA14" i="22"/>
  <c r="Z14" i="22"/>
  <c r="K14" i="22"/>
  <c r="J14" i="22"/>
  <c r="AO13" i="22"/>
  <c r="AG13" i="22"/>
  <c r="AF13" i="22"/>
  <c r="AE13" i="22"/>
  <c r="AO14" i="22" s="1"/>
  <c r="AD13" i="22"/>
  <c r="AC13" i="22"/>
  <c r="AB13" i="22"/>
  <c r="AA13" i="22"/>
  <c r="Z13" i="22"/>
  <c r="AQ16" i="22" s="1"/>
  <c r="K13" i="22"/>
  <c r="J13" i="22"/>
  <c r="AG9" i="22"/>
  <c r="AF9" i="22"/>
  <c r="AE9" i="22"/>
  <c r="AD9" i="22"/>
  <c r="AC9" i="22"/>
  <c r="AB9" i="22"/>
  <c r="AA9" i="22"/>
  <c r="Z9" i="22"/>
  <c r="K9" i="22"/>
  <c r="J9" i="22"/>
  <c r="AG8" i="22"/>
  <c r="AF8" i="22"/>
  <c r="AE8" i="22"/>
  <c r="AD8" i="22"/>
  <c r="AC8" i="22"/>
  <c r="AB8" i="22"/>
  <c r="AA8" i="22"/>
  <c r="Z8" i="22"/>
  <c r="M8" i="22"/>
  <c r="K8" i="22"/>
  <c r="J8" i="22"/>
  <c r="AQ7" i="22"/>
  <c r="AG7" i="22"/>
  <c r="AF7" i="22"/>
  <c r="AE7" i="22"/>
  <c r="AD7" i="22"/>
  <c r="AC7" i="22"/>
  <c r="AB7" i="22"/>
  <c r="AA7" i="22"/>
  <c r="Z7" i="22"/>
  <c r="K7" i="22"/>
  <c r="J7" i="22"/>
  <c r="AG6" i="22"/>
  <c r="AF6" i="22"/>
  <c r="AE6" i="22"/>
  <c r="AD6" i="22"/>
  <c r="AC6" i="22"/>
  <c r="AB6" i="22"/>
  <c r="AA6" i="22"/>
  <c r="Z6" i="22"/>
  <c r="X6" i="22"/>
  <c r="K6" i="22"/>
  <c r="J6" i="22"/>
  <c r="AG5" i="22"/>
  <c r="AF5" i="22"/>
  <c r="AE5" i="22"/>
  <c r="AD5" i="22"/>
  <c r="AQ4" i="22" s="1"/>
  <c r="AC5" i="22"/>
  <c r="AB5" i="22"/>
  <c r="AA5" i="22"/>
  <c r="Z5" i="22"/>
  <c r="X5" i="22"/>
  <c r="K5" i="22"/>
  <c r="J5" i="22"/>
  <c r="AG4" i="22"/>
  <c r="AF4" i="22"/>
  <c r="AE4" i="22"/>
  <c r="AD4" i="22"/>
  <c r="AQ5" i="22" s="1"/>
  <c r="AC4" i="22"/>
  <c r="AB4" i="22"/>
  <c r="AA4" i="22"/>
  <c r="Z4" i="22"/>
  <c r="AP7" i="22" s="1"/>
  <c r="X4" i="22"/>
  <c r="J4" i="22"/>
  <c r="K4" i="22" s="1"/>
  <c r="J37" i="21"/>
  <c r="AA37" i="21"/>
  <c r="AC37" i="21"/>
  <c r="AE37" i="21"/>
  <c r="AF37" i="21"/>
  <c r="U19" i="22" l="1"/>
  <c r="V19" i="22" s="1"/>
  <c r="BD90" i="22"/>
  <c r="BL98" i="22"/>
  <c r="BN98" i="22" s="1"/>
  <c r="BO98" i="22" s="1"/>
  <c r="BP98" i="22" s="1"/>
  <c r="BD88" i="22"/>
  <c r="BB88" i="22"/>
  <c r="BD89" i="22"/>
  <c r="BL97" i="22"/>
  <c r="BN97" i="22" s="1"/>
  <c r="BO97" i="22" s="1"/>
  <c r="BP97" i="22" s="1"/>
  <c r="BB87" i="22"/>
  <c r="BD87" i="22"/>
  <c r="BI103" i="22"/>
  <c r="N94" i="22"/>
  <c r="N89" i="22"/>
  <c r="BI88" i="22"/>
  <c r="N90" i="22"/>
  <c r="N87" i="22"/>
  <c r="BI90" i="22"/>
  <c r="BI89" i="22"/>
  <c r="BI80" i="22"/>
  <c r="BP99" i="22"/>
  <c r="BI79" i="22"/>
  <c r="BI81" i="22"/>
  <c r="BI78" i="22"/>
  <c r="AP50" i="22"/>
  <c r="AP14" i="22"/>
  <c r="AM16" i="22"/>
  <c r="AR7" i="22"/>
  <c r="T13" i="22"/>
  <c r="V13" i="22" s="1"/>
  <c r="AM14" i="22"/>
  <c r="BO101" i="22"/>
  <c r="BP101" i="22" s="1"/>
  <c r="AM15" i="22"/>
  <c r="AQ25" i="22"/>
  <c r="AP25" i="22"/>
  <c r="AO25" i="22"/>
  <c r="AO23" i="22"/>
  <c r="AQ23" i="22"/>
  <c r="BN109" i="22"/>
  <c r="AO6" i="22"/>
  <c r="AM13" i="22"/>
  <c r="AO60" i="22"/>
  <c r="AQ58" i="22"/>
  <c r="AQ61" i="22"/>
  <c r="AP58" i="22"/>
  <c r="AP61" i="22"/>
  <c r="AO58" i="22"/>
  <c r="AO61" i="22"/>
  <c r="AQ59" i="22"/>
  <c r="AP59" i="22"/>
  <c r="AO59" i="22"/>
  <c r="AQ60" i="22"/>
  <c r="AR60" i="22" s="1"/>
  <c r="BO102" i="22"/>
  <c r="BP102" i="22" s="1"/>
  <c r="AO24" i="22"/>
  <c r="AQ6" i="22"/>
  <c r="AP13" i="22"/>
  <c r="AP15" i="22"/>
  <c r="AR51" i="22"/>
  <c r="BI99" i="22"/>
  <c r="BB103" i="22"/>
  <c r="BL118" i="22"/>
  <c r="BN118" i="22" s="1"/>
  <c r="N103" i="22"/>
  <c r="AP6" i="22"/>
  <c r="AO5" i="22"/>
  <c r="AP16" i="22"/>
  <c r="AR16" i="22" s="1"/>
  <c r="AP5" i="22"/>
  <c r="AR5" i="22" s="1"/>
  <c r="AQ13" i="22"/>
  <c r="AQ14" i="22"/>
  <c r="AR14" i="22" s="1"/>
  <c r="AQ15" i="22"/>
  <c r="AQ24" i="22"/>
  <c r="AO67" i="22"/>
  <c r="AM69" i="22" s="1"/>
  <c r="AO68" i="22"/>
  <c r="AQ69" i="22"/>
  <c r="AP24" i="22"/>
  <c r="AO4" i="22"/>
  <c r="AO22" i="22"/>
  <c r="AQ42" i="22"/>
  <c r="AO41" i="22"/>
  <c r="AR67" i="22"/>
  <c r="BO96" i="22"/>
  <c r="BP96" i="22" s="1"/>
  <c r="BN108" i="22"/>
  <c r="AO7" i="22"/>
  <c r="AP22" i="22"/>
  <c r="AQ41" i="22"/>
  <c r="BO100" i="22"/>
  <c r="BP100" i="22" s="1"/>
  <c r="BB99" i="22"/>
  <c r="BL113" i="22"/>
  <c r="BN113" i="22" s="1"/>
  <c r="BO119" i="22"/>
  <c r="BP119" i="22" s="1"/>
  <c r="AP4" i="22"/>
  <c r="AR4" i="22" s="1"/>
  <c r="AQ22" i="22"/>
  <c r="AP23" i="22"/>
  <c r="AR23" i="22" s="1"/>
  <c r="AO33" i="22"/>
  <c r="AQ31" i="22"/>
  <c r="AQ34" i="22"/>
  <c r="AP31" i="22"/>
  <c r="AP34" i="22"/>
  <c r="AO31" i="22"/>
  <c r="AO34" i="22"/>
  <c r="AQ32" i="22"/>
  <c r="AP32" i="22"/>
  <c r="AQ33" i="22"/>
  <c r="AP33" i="22"/>
  <c r="BB95" i="22"/>
  <c r="T95" i="22"/>
  <c r="F99" i="22" s="1"/>
  <c r="BL114" i="22" s="1"/>
  <c r="BN114" i="22" s="1"/>
  <c r="BO114" i="22" s="1"/>
  <c r="BP114" i="22" s="1"/>
  <c r="N95" i="22"/>
  <c r="BL107" i="22"/>
  <c r="BN107" i="22" s="1"/>
  <c r="BP95" i="22"/>
  <c r="AP41" i="22"/>
  <c r="AO50" i="22"/>
  <c r="AP69" i="22"/>
  <c r="N88" i="22"/>
  <c r="T94" i="22"/>
  <c r="D99" i="22" s="1"/>
  <c r="BB94" i="22"/>
  <c r="AO40" i="22"/>
  <c r="AP43" i="22"/>
  <c r="AR43" i="22" s="1"/>
  <c r="AQ50" i="22"/>
  <c r="AO52" i="22"/>
  <c r="AP40" i="22"/>
  <c r="AQ43" i="22"/>
  <c r="AO49" i="22"/>
  <c r="AP52" i="22"/>
  <c r="AP68" i="22"/>
  <c r="AR68" i="22" s="1"/>
  <c r="AQ40" i="22"/>
  <c r="AO42" i="22"/>
  <c r="AP49" i="22"/>
  <c r="AQ52" i="22"/>
  <c r="AQ68" i="22"/>
  <c r="AO70" i="22"/>
  <c r="BL106" i="22"/>
  <c r="BN106" i="22" s="1"/>
  <c r="AP42" i="22"/>
  <c r="AQ49" i="22"/>
  <c r="AO51" i="22"/>
  <c r="AP70" i="22"/>
  <c r="AR70" i="22" s="1"/>
  <c r="X4" i="6"/>
  <c r="Y4" i="6"/>
  <c r="Z4" i="6"/>
  <c r="AA4" i="6"/>
  <c r="AB4" i="6"/>
  <c r="AC4" i="6"/>
  <c r="AD4" i="6"/>
  <c r="AE4" i="6"/>
  <c r="X5" i="6"/>
  <c r="Y5" i="6"/>
  <c r="Z5" i="6"/>
  <c r="AA5" i="6"/>
  <c r="AB5" i="6"/>
  <c r="AC5" i="6"/>
  <c r="AD5" i="6"/>
  <c r="AE5" i="6"/>
  <c r="X6" i="6"/>
  <c r="Y6" i="6"/>
  <c r="Z6" i="6"/>
  <c r="AA6" i="6"/>
  <c r="AB6" i="6"/>
  <c r="AC6" i="6"/>
  <c r="AD6" i="6"/>
  <c r="AE6" i="6"/>
  <c r="X7" i="6"/>
  <c r="Y7" i="6"/>
  <c r="Z7" i="6"/>
  <c r="AA7" i="6"/>
  <c r="AB7" i="6"/>
  <c r="AC7" i="6"/>
  <c r="AD7" i="6"/>
  <c r="AE7" i="6"/>
  <c r="X8" i="6"/>
  <c r="Y8" i="6"/>
  <c r="Z8" i="6"/>
  <c r="AA8" i="6"/>
  <c r="AB8" i="6"/>
  <c r="AC8" i="6"/>
  <c r="AD8" i="6"/>
  <c r="AE8" i="6"/>
  <c r="X9" i="6"/>
  <c r="Y9" i="6"/>
  <c r="Z9" i="6"/>
  <c r="AA9" i="6"/>
  <c r="AB9" i="6"/>
  <c r="AC9" i="6"/>
  <c r="AD9" i="6"/>
  <c r="AE9" i="6"/>
  <c r="X13" i="6"/>
  <c r="Y13" i="6"/>
  <c r="Z13" i="6"/>
  <c r="AA13" i="6"/>
  <c r="AB13" i="6"/>
  <c r="AC13" i="6"/>
  <c r="AD13" i="6"/>
  <c r="AE13" i="6"/>
  <c r="X14" i="6"/>
  <c r="Y14" i="6"/>
  <c r="Z14" i="6"/>
  <c r="AA14" i="6"/>
  <c r="AB14" i="6"/>
  <c r="AC14" i="6"/>
  <c r="AD14" i="6"/>
  <c r="AE14" i="6"/>
  <c r="X15" i="6"/>
  <c r="Y15" i="6"/>
  <c r="Z15" i="6"/>
  <c r="AA15" i="6"/>
  <c r="AB15" i="6"/>
  <c r="AC15" i="6"/>
  <c r="AD15" i="6"/>
  <c r="AE15" i="6"/>
  <c r="X16" i="6"/>
  <c r="Y16" i="6"/>
  <c r="Z16" i="6"/>
  <c r="AA16" i="6"/>
  <c r="AB16" i="6"/>
  <c r="AC16" i="6"/>
  <c r="AD16" i="6"/>
  <c r="AE16" i="6"/>
  <c r="X17" i="6"/>
  <c r="Y17" i="6"/>
  <c r="Z17" i="6"/>
  <c r="AA17" i="6"/>
  <c r="AB17" i="6"/>
  <c r="AC17" i="6"/>
  <c r="AD17" i="6"/>
  <c r="AE17" i="6"/>
  <c r="X18" i="6"/>
  <c r="Y18" i="6"/>
  <c r="Z18" i="6"/>
  <c r="AA18" i="6"/>
  <c r="AB18" i="6"/>
  <c r="AC18" i="6"/>
  <c r="AD18" i="6"/>
  <c r="AE18" i="6"/>
  <c r="X22" i="6"/>
  <c r="Y22" i="6"/>
  <c r="Z22" i="6"/>
  <c r="AA22" i="6"/>
  <c r="AB22" i="6"/>
  <c r="AC22" i="6"/>
  <c r="AD22" i="6"/>
  <c r="AE22" i="6"/>
  <c r="X23" i="6"/>
  <c r="Y23" i="6"/>
  <c r="Z23" i="6"/>
  <c r="AA23" i="6"/>
  <c r="AB23" i="6"/>
  <c r="AC23" i="6"/>
  <c r="AD23" i="6"/>
  <c r="AE23" i="6"/>
  <c r="X24" i="6"/>
  <c r="Y24" i="6"/>
  <c r="Z24" i="6"/>
  <c r="AA24" i="6"/>
  <c r="AB24" i="6"/>
  <c r="AC24" i="6"/>
  <c r="AD24" i="6"/>
  <c r="AE24" i="6"/>
  <c r="X25" i="6"/>
  <c r="Y25" i="6"/>
  <c r="Z25" i="6"/>
  <c r="AA25" i="6"/>
  <c r="AB25" i="6"/>
  <c r="AC25" i="6"/>
  <c r="AD25" i="6"/>
  <c r="AE25" i="6"/>
  <c r="X26" i="6"/>
  <c r="Y26" i="6"/>
  <c r="Z26" i="6"/>
  <c r="AA26" i="6"/>
  <c r="AB26" i="6"/>
  <c r="AC26" i="6"/>
  <c r="AD26" i="6"/>
  <c r="AE26" i="6"/>
  <c r="X27" i="6"/>
  <c r="Y27" i="6"/>
  <c r="Z27" i="6"/>
  <c r="AA27" i="6"/>
  <c r="AB27" i="6"/>
  <c r="AC27" i="6"/>
  <c r="AD27" i="6"/>
  <c r="AE27" i="6"/>
  <c r="X31" i="6"/>
  <c r="Y31" i="6"/>
  <c r="Z31" i="6"/>
  <c r="AA31" i="6"/>
  <c r="AB31" i="6"/>
  <c r="AC31" i="6"/>
  <c r="AD31" i="6"/>
  <c r="AE31" i="6"/>
  <c r="X32" i="6"/>
  <c r="AN34" i="6" s="1"/>
  <c r="Y32" i="6"/>
  <c r="Z32" i="6"/>
  <c r="AA32" i="6"/>
  <c r="AB32" i="6"/>
  <c r="AC32" i="6"/>
  <c r="AD32" i="6"/>
  <c r="AE32" i="6"/>
  <c r="X33" i="6"/>
  <c r="Y33" i="6"/>
  <c r="Z33" i="6"/>
  <c r="AA33" i="6"/>
  <c r="AB33" i="6"/>
  <c r="AC33" i="6"/>
  <c r="AD33" i="6"/>
  <c r="AE33" i="6"/>
  <c r="X34" i="6"/>
  <c r="Y34" i="6"/>
  <c r="Z34" i="6"/>
  <c r="AA34" i="6"/>
  <c r="AB34" i="6"/>
  <c r="AC34" i="6"/>
  <c r="AD34" i="6"/>
  <c r="AE34" i="6"/>
  <c r="AM34" i="6"/>
  <c r="X35" i="6"/>
  <c r="Y35" i="6"/>
  <c r="Z35" i="6"/>
  <c r="AA35" i="6"/>
  <c r="AB35" i="6"/>
  <c r="AC35" i="6"/>
  <c r="AD35" i="6"/>
  <c r="AE35" i="6"/>
  <c r="X36" i="6"/>
  <c r="Y36" i="6"/>
  <c r="Z36" i="6"/>
  <c r="AA36" i="6"/>
  <c r="AB36" i="6"/>
  <c r="AC36" i="6"/>
  <c r="AD36" i="6"/>
  <c r="AE36" i="6"/>
  <c r="X40" i="6"/>
  <c r="Y40" i="6"/>
  <c r="Z40" i="6"/>
  <c r="AA40" i="6"/>
  <c r="AB40" i="6"/>
  <c r="AC40" i="6"/>
  <c r="AD40" i="6"/>
  <c r="AE40" i="6"/>
  <c r="X41" i="6"/>
  <c r="Y41" i="6"/>
  <c r="Z41" i="6"/>
  <c r="AA41" i="6"/>
  <c r="AB41" i="6"/>
  <c r="AC41" i="6"/>
  <c r="AD41" i="6"/>
  <c r="AE41" i="6"/>
  <c r="X42" i="6"/>
  <c r="Y42" i="6"/>
  <c r="Z42" i="6"/>
  <c r="AA42" i="6"/>
  <c r="AB42" i="6"/>
  <c r="AC42" i="6"/>
  <c r="AD42" i="6"/>
  <c r="AE42" i="6"/>
  <c r="X43" i="6"/>
  <c r="Y43" i="6"/>
  <c r="Z43" i="6"/>
  <c r="AA43" i="6"/>
  <c r="AB43" i="6"/>
  <c r="AC43" i="6"/>
  <c r="AD43" i="6"/>
  <c r="AE43" i="6"/>
  <c r="X44" i="6"/>
  <c r="Y44" i="6"/>
  <c r="Z44" i="6"/>
  <c r="AA44" i="6"/>
  <c r="AB44" i="6"/>
  <c r="AC44" i="6"/>
  <c r="AD44" i="6"/>
  <c r="AE44" i="6"/>
  <c r="AO40" i="6" s="1"/>
  <c r="X45" i="6"/>
  <c r="Y45" i="6"/>
  <c r="Z45" i="6"/>
  <c r="AA45" i="6"/>
  <c r="AB45" i="6"/>
  <c r="AC45" i="6"/>
  <c r="AD45" i="6"/>
  <c r="AE45" i="6"/>
  <c r="X49" i="6"/>
  <c r="Y49" i="6"/>
  <c r="Z49" i="6"/>
  <c r="AA49" i="6"/>
  <c r="AB49" i="6"/>
  <c r="AC49" i="6"/>
  <c r="AD49" i="6"/>
  <c r="AE49" i="6"/>
  <c r="X50" i="6"/>
  <c r="Y50" i="6"/>
  <c r="Z50" i="6"/>
  <c r="AA50" i="6"/>
  <c r="AB50" i="6"/>
  <c r="AC50" i="6"/>
  <c r="AD50" i="6"/>
  <c r="AE50" i="6"/>
  <c r="X51" i="6"/>
  <c r="Y51" i="6"/>
  <c r="Z51" i="6"/>
  <c r="AA51" i="6"/>
  <c r="AO49" i="6" s="1"/>
  <c r="AB51" i="6"/>
  <c r="AC51" i="6"/>
  <c r="AD51" i="6"/>
  <c r="AE51" i="6"/>
  <c r="X52" i="6"/>
  <c r="Y52" i="6"/>
  <c r="Z52" i="6"/>
  <c r="AA52" i="6"/>
  <c r="AB52" i="6"/>
  <c r="AC52" i="6"/>
  <c r="AD52" i="6"/>
  <c r="AE52" i="6"/>
  <c r="X53" i="6"/>
  <c r="Y53" i="6"/>
  <c r="Z53" i="6"/>
  <c r="AA53" i="6"/>
  <c r="AB53" i="6"/>
  <c r="AC53" i="6"/>
  <c r="AD53" i="6"/>
  <c r="AE53" i="6"/>
  <c r="X54" i="6"/>
  <c r="Y54" i="6"/>
  <c r="Z54" i="6"/>
  <c r="AA54" i="6"/>
  <c r="AB54" i="6"/>
  <c r="AC54" i="6"/>
  <c r="AD54" i="6"/>
  <c r="AE54" i="6"/>
  <c r="X58" i="6"/>
  <c r="Y58" i="6"/>
  <c r="Z58" i="6"/>
  <c r="AA58" i="6"/>
  <c r="AB58" i="6"/>
  <c r="AC58" i="6"/>
  <c r="AD58" i="6"/>
  <c r="AE58" i="6"/>
  <c r="X59" i="6"/>
  <c r="Y59" i="6"/>
  <c r="Z59" i="6"/>
  <c r="AA59" i="6"/>
  <c r="AB59" i="6"/>
  <c r="AC59" i="6"/>
  <c r="AD59" i="6"/>
  <c r="AE59" i="6"/>
  <c r="X60" i="6"/>
  <c r="Y60" i="6"/>
  <c r="Z60" i="6"/>
  <c r="AA60" i="6"/>
  <c r="AB60" i="6"/>
  <c r="AC60" i="6"/>
  <c r="AD60" i="6"/>
  <c r="AE60" i="6"/>
  <c r="X61" i="6"/>
  <c r="Y61" i="6"/>
  <c r="Z61" i="6"/>
  <c r="AA61" i="6"/>
  <c r="AB61" i="6"/>
  <c r="AC61" i="6"/>
  <c r="AD61" i="6"/>
  <c r="AE61" i="6"/>
  <c r="X62" i="6"/>
  <c r="Y62" i="6"/>
  <c r="Z62" i="6"/>
  <c r="AA62" i="6"/>
  <c r="AB62" i="6"/>
  <c r="AC62" i="6"/>
  <c r="AD62" i="6"/>
  <c r="AE62" i="6"/>
  <c r="X63" i="6"/>
  <c r="Y63" i="6"/>
  <c r="Z63" i="6"/>
  <c r="AA63" i="6"/>
  <c r="AB63" i="6"/>
  <c r="AC63" i="6"/>
  <c r="AD63" i="6"/>
  <c r="AE63" i="6"/>
  <c r="X67" i="6"/>
  <c r="Y67" i="6"/>
  <c r="Z67" i="6"/>
  <c r="AA67" i="6"/>
  <c r="AB67" i="6"/>
  <c r="AC67" i="6"/>
  <c r="AD67" i="6"/>
  <c r="AE67" i="6"/>
  <c r="X68" i="6"/>
  <c r="Y68" i="6"/>
  <c r="Z68" i="6"/>
  <c r="AN67" i="6" s="1"/>
  <c r="AA68" i="6"/>
  <c r="AB68" i="6"/>
  <c r="AC68" i="6"/>
  <c r="AD68" i="6"/>
  <c r="AE68" i="6"/>
  <c r="X69" i="6"/>
  <c r="Y69" i="6"/>
  <c r="Z69" i="6"/>
  <c r="AA69" i="6"/>
  <c r="AB69" i="6"/>
  <c r="AC69" i="6"/>
  <c r="AD69" i="6"/>
  <c r="AE69" i="6"/>
  <c r="X70" i="6"/>
  <c r="Y70" i="6"/>
  <c r="Z70" i="6"/>
  <c r="AA70" i="6"/>
  <c r="AB70" i="6"/>
  <c r="AC70" i="6"/>
  <c r="AD70" i="6"/>
  <c r="AE70" i="6"/>
  <c r="X71" i="6"/>
  <c r="Y71" i="6"/>
  <c r="Z71" i="6"/>
  <c r="AA71" i="6"/>
  <c r="AB71" i="6"/>
  <c r="AC71" i="6"/>
  <c r="AD71" i="6"/>
  <c r="AE71" i="6"/>
  <c r="X72" i="6"/>
  <c r="Y72" i="6"/>
  <c r="AM70" i="6" s="1"/>
  <c r="Z72" i="6"/>
  <c r="AA72" i="6"/>
  <c r="AB72" i="6"/>
  <c r="AC72" i="6"/>
  <c r="AD72" i="6"/>
  <c r="AE72" i="6"/>
  <c r="M71" i="21"/>
  <c r="M62" i="21"/>
  <c r="M53" i="21"/>
  <c r="M44" i="21"/>
  <c r="M35" i="21"/>
  <c r="M26" i="21"/>
  <c r="M17" i="21"/>
  <c r="M8" i="21"/>
  <c r="BG103" i="21"/>
  <c r="BE103" i="21"/>
  <c r="J103" i="21"/>
  <c r="F103" i="21"/>
  <c r="D103" i="21"/>
  <c r="BB103" i="21" s="1"/>
  <c r="BG99" i="21"/>
  <c r="BE99" i="21"/>
  <c r="J99" i="21"/>
  <c r="BG95" i="21"/>
  <c r="BE95" i="21"/>
  <c r="J95" i="21"/>
  <c r="F95" i="21"/>
  <c r="BD95" i="21" s="1"/>
  <c r="D95" i="21"/>
  <c r="BB95" i="21" s="1"/>
  <c r="BG94" i="21"/>
  <c r="BE94" i="21"/>
  <c r="J94" i="21"/>
  <c r="F94" i="21"/>
  <c r="D94" i="21"/>
  <c r="BG90" i="21"/>
  <c r="BE90" i="21"/>
  <c r="J90" i="21"/>
  <c r="F90" i="21"/>
  <c r="BD90" i="21" s="1"/>
  <c r="D90" i="21"/>
  <c r="BL98" i="21" s="1"/>
  <c r="BG89" i="21"/>
  <c r="BE89" i="21"/>
  <c r="J89" i="21"/>
  <c r="F89" i="21"/>
  <c r="BL101" i="21" s="1"/>
  <c r="D89" i="21"/>
  <c r="BL97" i="21" s="1"/>
  <c r="BG88" i="21"/>
  <c r="BE88" i="21"/>
  <c r="J88" i="21"/>
  <c r="F88" i="21"/>
  <c r="BD88" i="21" s="1"/>
  <c r="D88" i="21"/>
  <c r="BL96" i="21" s="1"/>
  <c r="BG87" i="21"/>
  <c r="BE87" i="21"/>
  <c r="J87" i="21"/>
  <c r="F87" i="21"/>
  <c r="BD87" i="21" s="1"/>
  <c r="D87" i="21"/>
  <c r="BL95" i="21" s="1"/>
  <c r="BG83" i="21"/>
  <c r="BE83" i="21"/>
  <c r="J83" i="21"/>
  <c r="BG82" i="21"/>
  <c r="BE82" i="21"/>
  <c r="J82" i="21"/>
  <c r="BG81" i="21"/>
  <c r="BE81" i="21"/>
  <c r="J81" i="21"/>
  <c r="BG80" i="21"/>
  <c r="BE80" i="21"/>
  <c r="J80" i="21"/>
  <c r="BG79" i="21"/>
  <c r="BE79" i="21"/>
  <c r="J79" i="21"/>
  <c r="BG78" i="21"/>
  <c r="BE78" i="21"/>
  <c r="J78" i="21"/>
  <c r="BG77" i="21"/>
  <c r="BE77" i="21"/>
  <c r="J77" i="21"/>
  <c r="BG76" i="21"/>
  <c r="BE76" i="21"/>
  <c r="J76" i="21"/>
  <c r="AG72" i="21"/>
  <c r="AF72" i="21"/>
  <c r="AE72" i="21"/>
  <c r="AD72" i="21"/>
  <c r="AC72" i="21"/>
  <c r="AB72" i="21"/>
  <c r="AA72" i="21"/>
  <c r="Z72" i="21"/>
  <c r="J72" i="21"/>
  <c r="AG71" i="21"/>
  <c r="AF71" i="21"/>
  <c r="AE71" i="21"/>
  <c r="AD71" i="21"/>
  <c r="AC71" i="21"/>
  <c r="AB71" i="21"/>
  <c r="AA71" i="21"/>
  <c r="Z71" i="21"/>
  <c r="J71" i="21"/>
  <c r="AG70" i="21"/>
  <c r="AF70" i="21"/>
  <c r="AE70" i="21"/>
  <c r="AD70" i="21"/>
  <c r="AC70" i="21"/>
  <c r="AB70" i="21"/>
  <c r="AA70" i="21"/>
  <c r="Z70" i="21"/>
  <c r="J70" i="21"/>
  <c r="AG69" i="21"/>
  <c r="AF69" i="21"/>
  <c r="AE69" i="21"/>
  <c r="AD69" i="21"/>
  <c r="AC69" i="21"/>
  <c r="AB69" i="21"/>
  <c r="AA69" i="21"/>
  <c r="Z69" i="21"/>
  <c r="J69" i="21"/>
  <c r="AG68" i="21"/>
  <c r="AF68" i="21"/>
  <c r="AE68" i="21"/>
  <c r="AD68" i="21"/>
  <c r="AC68" i="21"/>
  <c r="AB68" i="21"/>
  <c r="AA68" i="21"/>
  <c r="Z68" i="21"/>
  <c r="J68" i="21"/>
  <c r="AG67" i="21"/>
  <c r="AF67" i="21"/>
  <c r="AE67" i="21"/>
  <c r="AD67" i="21"/>
  <c r="AC67" i="21"/>
  <c r="AB67" i="21"/>
  <c r="AA67" i="21"/>
  <c r="Z67" i="21"/>
  <c r="J67" i="21"/>
  <c r="AG63" i="21"/>
  <c r="AF63" i="21"/>
  <c r="AE63" i="21"/>
  <c r="AD63" i="21"/>
  <c r="AC63" i="21"/>
  <c r="AB63" i="21"/>
  <c r="AA63" i="21"/>
  <c r="Z63" i="21"/>
  <c r="J63" i="21"/>
  <c r="AG62" i="21"/>
  <c r="AF62" i="21"/>
  <c r="AE62" i="21"/>
  <c r="AD62" i="21"/>
  <c r="AC62" i="21"/>
  <c r="AB62" i="21"/>
  <c r="AA62" i="21"/>
  <c r="Z62" i="21"/>
  <c r="J62" i="21"/>
  <c r="AG61" i="21"/>
  <c r="AF61" i="21"/>
  <c r="AE61" i="21"/>
  <c r="AD61" i="21"/>
  <c r="AC61" i="21"/>
  <c r="AB61" i="21"/>
  <c r="AA61" i="21"/>
  <c r="Z61" i="21"/>
  <c r="J61" i="21"/>
  <c r="AG60" i="21"/>
  <c r="AF60" i="21"/>
  <c r="AE60" i="21"/>
  <c r="AD60" i="21"/>
  <c r="AC60" i="21"/>
  <c r="AB60" i="21"/>
  <c r="AA60" i="21"/>
  <c r="Z60" i="21"/>
  <c r="J60" i="21"/>
  <c r="AG59" i="21"/>
  <c r="AF59" i="21"/>
  <c r="AE59" i="21"/>
  <c r="AD59" i="21"/>
  <c r="AC59" i="21"/>
  <c r="AB59" i="21"/>
  <c r="AA59" i="21"/>
  <c r="Z59" i="21"/>
  <c r="J59" i="21"/>
  <c r="AG58" i="21"/>
  <c r="AF58" i="21"/>
  <c r="AE58" i="21"/>
  <c r="AD58" i="21"/>
  <c r="AC58" i="21"/>
  <c r="AB58" i="21"/>
  <c r="AA58" i="21"/>
  <c r="Z58" i="21"/>
  <c r="J58" i="21"/>
  <c r="AG54" i="21"/>
  <c r="AF54" i="21"/>
  <c r="AE54" i="21"/>
  <c r="AD54" i="21"/>
  <c r="AC54" i="21"/>
  <c r="AB54" i="21"/>
  <c r="AA54" i="21"/>
  <c r="Z54" i="21"/>
  <c r="J54" i="21"/>
  <c r="AG53" i="21"/>
  <c r="AF53" i="21"/>
  <c r="AE53" i="21"/>
  <c r="AD53" i="21"/>
  <c r="AC53" i="21"/>
  <c r="AB53" i="21"/>
  <c r="AA53" i="21"/>
  <c r="Z53" i="21"/>
  <c r="J53" i="21"/>
  <c r="AG52" i="21"/>
  <c r="AF52" i="21"/>
  <c r="AE52" i="21"/>
  <c r="AD52" i="21"/>
  <c r="AC52" i="21"/>
  <c r="AB52" i="21"/>
  <c r="AA52" i="21"/>
  <c r="Z52" i="21"/>
  <c r="J52" i="21"/>
  <c r="AG51" i="21"/>
  <c r="AF51" i="21"/>
  <c r="AE51" i="21"/>
  <c r="AD51" i="21"/>
  <c r="AC51" i="21"/>
  <c r="AB51" i="21"/>
  <c r="AA51" i="21"/>
  <c r="Z51" i="21"/>
  <c r="J51" i="21"/>
  <c r="AG50" i="21"/>
  <c r="AF50" i="21"/>
  <c r="AE50" i="21"/>
  <c r="AD50" i="21"/>
  <c r="AC50" i="21"/>
  <c r="AB50" i="21"/>
  <c r="AA50" i="21"/>
  <c r="Z50" i="21"/>
  <c r="J50" i="21"/>
  <c r="AG49" i="21"/>
  <c r="AF49" i="21"/>
  <c r="AE49" i="21"/>
  <c r="AD49" i="21"/>
  <c r="AC49" i="21"/>
  <c r="AB49" i="21"/>
  <c r="AA49" i="21"/>
  <c r="Z49" i="21"/>
  <c r="J49" i="21"/>
  <c r="AG45" i="21"/>
  <c r="AF45" i="21"/>
  <c r="AE45" i="21"/>
  <c r="AD45" i="21"/>
  <c r="AC45" i="21"/>
  <c r="AB45" i="21"/>
  <c r="AA45" i="21"/>
  <c r="Z45" i="21"/>
  <c r="J45" i="21"/>
  <c r="AG44" i="21"/>
  <c r="AF44" i="21"/>
  <c r="AE44" i="21"/>
  <c r="AD44" i="21"/>
  <c r="AC44" i="21"/>
  <c r="AB44" i="21"/>
  <c r="AA44" i="21"/>
  <c r="Z44" i="21"/>
  <c r="J44" i="21"/>
  <c r="AG43" i="21"/>
  <c r="AF43" i="21"/>
  <c r="AE43" i="21"/>
  <c r="AD43" i="21"/>
  <c r="AC43" i="21"/>
  <c r="AB43" i="21"/>
  <c r="AA43" i="21"/>
  <c r="Z43" i="21"/>
  <c r="J43" i="21"/>
  <c r="AG42" i="21"/>
  <c r="AF42" i="21"/>
  <c r="AE42" i="21"/>
  <c r="AD42" i="21"/>
  <c r="AC42" i="21"/>
  <c r="AB42" i="21"/>
  <c r="AA42" i="21"/>
  <c r="Z42" i="21"/>
  <c r="J42" i="21"/>
  <c r="AG41" i="21"/>
  <c r="AF41" i="21"/>
  <c r="AE41" i="21"/>
  <c r="AD41" i="21"/>
  <c r="AC41" i="21"/>
  <c r="AB41" i="21"/>
  <c r="AA41" i="21"/>
  <c r="Z41" i="21"/>
  <c r="J41" i="21"/>
  <c r="AG40" i="21"/>
  <c r="AF40" i="21"/>
  <c r="AE40" i="21"/>
  <c r="AD40" i="21"/>
  <c r="AC40" i="21"/>
  <c r="AB40" i="21"/>
  <c r="AA40" i="21"/>
  <c r="Z40" i="21"/>
  <c r="J40" i="21"/>
  <c r="AG36" i="21"/>
  <c r="AF36" i="21"/>
  <c r="AE36" i="21"/>
  <c r="AD36" i="21"/>
  <c r="AC36" i="21"/>
  <c r="AB36" i="21"/>
  <c r="AA36" i="21"/>
  <c r="Z36" i="21"/>
  <c r="J36" i="21"/>
  <c r="AG35" i="21"/>
  <c r="AF35" i="21"/>
  <c r="AE35" i="21"/>
  <c r="AD35" i="21"/>
  <c r="AC35" i="21"/>
  <c r="AB35" i="21"/>
  <c r="AA35" i="21"/>
  <c r="Z35" i="21"/>
  <c r="J35" i="21"/>
  <c r="AG34" i="21"/>
  <c r="AF34" i="21"/>
  <c r="AE34" i="21"/>
  <c r="AD34" i="21"/>
  <c r="AC34" i="21"/>
  <c r="AB34" i="21"/>
  <c r="AA34" i="21"/>
  <c r="Z34" i="21"/>
  <c r="J34" i="21"/>
  <c r="AG33" i="21"/>
  <c r="AF33" i="21"/>
  <c r="AE33" i="21"/>
  <c r="AD33" i="21"/>
  <c r="AC33" i="21"/>
  <c r="AB33" i="21"/>
  <c r="AA33" i="21"/>
  <c r="Z33" i="21"/>
  <c r="J33" i="21"/>
  <c r="AG32" i="21"/>
  <c r="AF32" i="21"/>
  <c r="AE32" i="21"/>
  <c r="AD32" i="21"/>
  <c r="AC32" i="21"/>
  <c r="AB32" i="21"/>
  <c r="AA32" i="21"/>
  <c r="Z32" i="21"/>
  <c r="J32" i="21"/>
  <c r="AG31" i="21"/>
  <c r="AF31" i="21"/>
  <c r="AE31" i="21"/>
  <c r="AD31" i="21"/>
  <c r="AC31" i="21"/>
  <c r="AB31" i="21"/>
  <c r="AA31" i="21"/>
  <c r="Z31" i="21"/>
  <c r="J31" i="21"/>
  <c r="AG27" i="21"/>
  <c r="AF27" i="21"/>
  <c r="AE27" i="21"/>
  <c r="AD27" i="21"/>
  <c r="AC27" i="21"/>
  <c r="AB27" i="21"/>
  <c r="AA27" i="21"/>
  <c r="Z27" i="21"/>
  <c r="J27" i="21"/>
  <c r="AG26" i="21"/>
  <c r="AF26" i="21"/>
  <c r="AE26" i="21"/>
  <c r="AD26" i="21"/>
  <c r="AC26" i="21"/>
  <c r="AB26" i="21"/>
  <c r="AA26" i="21"/>
  <c r="Z26" i="21"/>
  <c r="J26" i="21"/>
  <c r="AG25" i="21"/>
  <c r="AF25" i="21"/>
  <c r="AE25" i="21"/>
  <c r="AD25" i="21"/>
  <c r="AC25" i="21"/>
  <c r="AB25" i="21"/>
  <c r="AA25" i="21"/>
  <c r="Z25" i="21"/>
  <c r="J25" i="21"/>
  <c r="AG24" i="21"/>
  <c r="AF24" i="21"/>
  <c r="AE24" i="21"/>
  <c r="AD24" i="21"/>
  <c r="AC24" i="21"/>
  <c r="AB24" i="21"/>
  <c r="AA24" i="21"/>
  <c r="Z24" i="21"/>
  <c r="J24" i="21"/>
  <c r="AG23" i="21"/>
  <c r="AF23" i="21"/>
  <c r="AE23" i="21"/>
  <c r="AD23" i="21"/>
  <c r="AC23" i="21"/>
  <c r="AB23" i="21"/>
  <c r="AA23" i="21"/>
  <c r="Z23" i="21"/>
  <c r="J23" i="21"/>
  <c r="AG22" i="21"/>
  <c r="AF22" i="21"/>
  <c r="AE22" i="21"/>
  <c r="AD22" i="21"/>
  <c r="AC22" i="21"/>
  <c r="AB22" i="21"/>
  <c r="AA22" i="21"/>
  <c r="Z22" i="21"/>
  <c r="J22" i="21"/>
  <c r="AG18" i="21"/>
  <c r="AF18" i="21"/>
  <c r="AE18" i="21"/>
  <c r="AD18" i="21"/>
  <c r="AC18" i="21"/>
  <c r="AB18" i="21"/>
  <c r="AA18" i="21"/>
  <c r="Z18" i="21"/>
  <c r="J18" i="21"/>
  <c r="AG17" i="21"/>
  <c r="AF17" i="21"/>
  <c r="AE17" i="21"/>
  <c r="AD17" i="21"/>
  <c r="AC17" i="21"/>
  <c r="AB17" i="21"/>
  <c r="AA17" i="21"/>
  <c r="Z17" i="21"/>
  <c r="J17" i="21"/>
  <c r="AG16" i="21"/>
  <c r="AF16" i="21"/>
  <c r="AE16" i="21"/>
  <c r="AD16" i="21"/>
  <c r="AC16" i="21"/>
  <c r="AB16" i="21"/>
  <c r="AA16" i="21"/>
  <c r="Z16" i="21"/>
  <c r="J16" i="21"/>
  <c r="AG15" i="21"/>
  <c r="AF15" i="21"/>
  <c r="AE15" i="21"/>
  <c r="AD15" i="21"/>
  <c r="AC15" i="21"/>
  <c r="AB15" i="21"/>
  <c r="AA15" i="21"/>
  <c r="Z15" i="21"/>
  <c r="J15" i="21"/>
  <c r="AG14" i="21"/>
  <c r="AF14" i="21"/>
  <c r="AE14" i="21"/>
  <c r="AD14" i="21"/>
  <c r="AC14" i="21"/>
  <c r="AB14" i="21"/>
  <c r="AA14" i="21"/>
  <c r="Z14" i="21"/>
  <c r="J14" i="21"/>
  <c r="AG13" i="21"/>
  <c r="AF13" i="21"/>
  <c r="AE13" i="21"/>
  <c r="AD13" i="21"/>
  <c r="AC13" i="21"/>
  <c r="AB13" i="21"/>
  <c r="AA13" i="21"/>
  <c r="Z13" i="21"/>
  <c r="J13" i="21"/>
  <c r="AG9" i="21"/>
  <c r="AF9" i="21"/>
  <c r="AE9" i="21"/>
  <c r="AD9" i="21"/>
  <c r="AC9" i="21"/>
  <c r="AB9" i="21"/>
  <c r="AA9" i="21"/>
  <c r="Z9" i="21"/>
  <c r="J9" i="21"/>
  <c r="AG8" i="21"/>
  <c r="AF8" i="21"/>
  <c r="AE8" i="21"/>
  <c r="AD8" i="21"/>
  <c r="AC8" i="21"/>
  <c r="AB8" i="21"/>
  <c r="AA8" i="21"/>
  <c r="Z8" i="21"/>
  <c r="J8" i="21"/>
  <c r="AG7" i="21"/>
  <c r="AF7" i="21"/>
  <c r="AE7" i="21"/>
  <c r="AD7" i="21"/>
  <c r="AC7" i="21"/>
  <c r="AB7" i="21"/>
  <c r="AA7" i="21"/>
  <c r="Z7" i="21"/>
  <c r="J7" i="21"/>
  <c r="AG6" i="21"/>
  <c r="AF6" i="21"/>
  <c r="AE6" i="21"/>
  <c r="AD6" i="21"/>
  <c r="AC6" i="21"/>
  <c r="AB6" i="21"/>
  <c r="AA6" i="21"/>
  <c r="Z6" i="21"/>
  <c r="J6" i="21"/>
  <c r="AG5" i="21"/>
  <c r="AF5" i="21"/>
  <c r="AE5" i="21"/>
  <c r="AD5" i="21"/>
  <c r="AC5" i="21"/>
  <c r="AB5" i="21"/>
  <c r="AA5" i="21"/>
  <c r="Z5" i="21"/>
  <c r="J5" i="21"/>
  <c r="AG4" i="21"/>
  <c r="AF4" i="21"/>
  <c r="AE4" i="21"/>
  <c r="AD4" i="21"/>
  <c r="AC4" i="21"/>
  <c r="AB4" i="21"/>
  <c r="AA4" i="21"/>
  <c r="Z4" i="21"/>
  <c r="X4" i="21"/>
  <c r="J4" i="21"/>
  <c r="X6" i="21"/>
  <c r="X5" i="21"/>
  <c r="L71" i="6"/>
  <c r="L62" i="6"/>
  <c r="L53" i="6"/>
  <c r="L44" i="6"/>
  <c r="L35" i="6"/>
  <c r="L26" i="6"/>
  <c r="L17" i="6"/>
  <c r="L8" i="6"/>
  <c r="N99" i="22" l="1"/>
  <c r="BD99" i="22"/>
  <c r="AR59" i="22"/>
  <c r="AM60" i="22"/>
  <c r="AR50" i="22"/>
  <c r="AM52" i="22"/>
  <c r="AR41" i="22"/>
  <c r="AM42" i="22"/>
  <c r="AR42" i="22"/>
  <c r="AM32" i="22"/>
  <c r="AR34" i="22"/>
  <c r="AR24" i="22"/>
  <c r="AR22" i="22"/>
  <c r="AR15" i="22"/>
  <c r="AR13" i="22"/>
  <c r="AM5" i="22"/>
  <c r="AM70" i="22"/>
  <c r="AR52" i="22"/>
  <c r="AM40" i="22"/>
  <c r="BP107" i="22"/>
  <c r="BO107" i="22"/>
  <c r="AM34" i="22"/>
  <c r="AM4" i="22"/>
  <c r="AR6" i="22"/>
  <c r="AK6" i="22" s="1"/>
  <c r="BP103" i="22"/>
  <c r="P87" i="22" s="1"/>
  <c r="U15" i="22" s="1"/>
  <c r="V15" i="22" s="1"/>
  <c r="AM67" i="22"/>
  <c r="AM31" i="22"/>
  <c r="AL34" i="22"/>
  <c r="AM61" i="22"/>
  <c r="BP118" i="22"/>
  <c r="BP120" i="22" s="1"/>
  <c r="P103" i="22" s="1"/>
  <c r="U18" i="22" s="1"/>
  <c r="V18" i="22" s="1"/>
  <c r="BO118" i="22"/>
  <c r="AM58" i="22"/>
  <c r="AM23" i="22"/>
  <c r="BO108" i="22"/>
  <c r="BP108" i="22" s="1"/>
  <c r="AM49" i="22"/>
  <c r="AR49" i="22"/>
  <c r="AR40" i="22"/>
  <c r="AR31" i="22"/>
  <c r="AM41" i="22"/>
  <c r="AR61" i="22"/>
  <c r="AM6" i="22"/>
  <c r="AM25" i="22"/>
  <c r="BO113" i="22"/>
  <c r="BP113" i="22" s="1"/>
  <c r="BP115" i="22" s="1"/>
  <c r="P99" i="22" s="1"/>
  <c r="U17" i="22" s="1"/>
  <c r="V17" i="22" s="1"/>
  <c r="AM51" i="22"/>
  <c r="BO106" i="22"/>
  <c r="BP106" i="22" s="1"/>
  <c r="AR69" i="22"/>
  <c r="AL67" i="22" s="1"/>
  <c r="AR33" i="22"/>
  <c r="AK33" i="22" s="1"/>
  <c r="AM43" i="22"/>
  <c r="AR58" i="22"/>
  <c r="BO109" i="22"/>
  <c r="BP109" i="22" s="1"/>
  <c r="AR25" i="22"/>
  <c r="AM50" i="22"/>
  <c r="AK25" i="22"/>
  <c r="AM22" i="22"/>
  <c r="AR32" i="22"/>
  <c r="AM33" i="22"/>
  <c r="AM7" i="22"/>
  <c r="AM68" i="22"/>
  <c r="AM24" i="22"/>
  <c r="AM59" i="22"/>
  <c r="D83" i="6"/>
  <c r="F81" i="6"/>
  <c r="F83" i="6"/>
  <c r="D81" i="6"/>
  <c r="D82" i="6"/>
  <c r="F80" i="6"/>
  <c r="AM43" i="6"/>
  <c r="AN43" i="6"/>
  <c r="F82" i="6"/>
  <c r="D80" i="6"/>
  <c r="D79" i="6"/>
  <c r="F76" i="6"/>
  <c r="F79" i="6"/>
  <c r="D76" i="6"/>
  <c r="D78" i="6"/>
  <c r="F77" i="6"/>
  <c r="D77" i="6"/>
  <c r="BM77" i="22" s="1"/>
  <c r="F78" i="6"/>
  <c r="BM86" i="22" s="1"/>
  <c r="AN52" i="6"/>
  <c r="AN49" i="6"/>
  <c r="AP49" i="6" s="1"/>
  <c r="AN40" i="6"/>
  <c r="AP40" i="6" s="1"/>
  <c r="AN31" i="6"/>
  <c r="T95" i="21"/>
  <c r="F99" i="21" s="1"/>
  <c r="BD99" i="21" s="1"/>
  <c r="BL107" i="21"/>
  <c r="BL100" i="21"/>
  <c r="AO67" i="6"/>
  <c r="AP67" i="6" s="1"/>
  <c r="AM61" i="6"/>
  <c r="AM52" i="6"/>
  <c r="AO31" i="6"/>
  <c r="AN22" i="6"/>
  <c r="AN13" i="6"/>
  <c r="AM16" i="6"/>
  <c r="N94" i="21"/>
  <c r="AN16" i="6"/>
  <c r="AO13" i="6"/>
  <c r="AO7" i="6"/>
  <c r="AM7" i="6"/>
  <c r="AM25" i="6"/>
  <c r="AO22" i="6"/>
  <c r="AN25" i="6"/>
  <c r="AO5" i="6"/>
  <c r="AN4" i="6"/>
  <c r="AN7" i="6"/>
  <c r="AO4" i="6"/>
  <c r="BL99" i="21"/>
  <c r="N87" i="21"/>
  <c r="BL118" i="21"/>
  <c r="T94" i="21"/>
  <c r="D99" i="21" s="1"/>
  <c r="BB99" i="21" s="1"/>
  <c r="BL109" i="21"/>
  <c r="N95" i="21"/>
  <c r="BB94" i="21"/>
  <c r="BL102" i="21"/>
  <c r="N88" i="21"/>
  <c r="N89" i="21"/>
  <c r="N90" i="21"/>
  <c r="BD89" i="21"/>
  <c r="BB88" i="21"/>
  <c r="BB89" i="21"/>
  <c r="BB90" i="21"/>
  <c r="AN61" i="6"/>
  <c r="AM58" i="6"/>
  <c r="AM60" i="6"/>
  <c r="AO61" i="6"/>
  <c r="AN60" i="6"/>
  <c r="AM59" i="6"/>
  <c r="AO60" i="6"/>
  <c r="AO59" i="6"/>
  <c r="AN59" i="6"/>
  <c r="AO6" i="6"/>
  <c r="AO58" i="6"/>
  <c r="AN70" i="6"/>
  <c r="AM69" i="6"/>
  <c r="AO70" i="6"/>
  <c r="AM67" i="6"/>
  <c r="AN69" i="6"/>
  <c r="AO68" i="6"/>
  <c r="AM68" i="6"/>
  <c r="AO69" i="6"/>
  <c r="AN68" i="6"/>
  <c r="AN58" i="6"/>
  <c r="AO50" i="6"/>
  <c r="AO41" i="6"/>
  <c r="AM22" i="6"/>
  <c r="AM13" i="6"/>
  <c r="AN50" i="6"/>
  <c r="AN41" i="6"/>
  <c r="AN32" i="6"/>
  <c r="AN23" i="6"/>
  <c r="AN14" i="6"/>
  <c r="AN5" i="6"/>
  <c r="AM40" i="6"/>
  <c r="AO51" i="6"/>
  <c r="AM50" i="6"/>
  <c r="AO42" i="6"/>
  <c r="AM41" i="6"/>
  <c r="AO33" i="6"/>
  <c r="AM32" i="6"/>
  <c r="AO24" i="6"/>
  <c r="AM23" i="6"/>
  <c r="AO15" i="6"/>
  <c r="AM14" i="6"/>
  <c r="AM5" i="6"/>
  <c r="AM49" i="6"/>
  <c r="AM31" i="6"/>
  <c r="AN51" i="6"/>
  <c r="AP51" i="6" s="1"/>
  <c r="AN42" i="6"/>
  <c r="AN33" i="6"/>
  <c r="AN24" i="6"/>
  <c r="AN15" i="6"/>
  <c r="AN6" i="6"/>
  <c r="AO32" i="6"/>
  <c r="AO23" i="6"/>
  <c r="AO14" i="6"/>
  <c r="AO52" i="6"/>
  <c r="AP52" i="6" s="1"/>
  <c r="AM51" i="6"/>
  <c r="AO43" i="6"/>
  <c r="AP43" i="6" s="1"/>
  <c r="AM42" i="6"/>
  <c r="AO34" i="6"/>
  <c r="AP34" i="6" s="1"/>
  <c r="AM33" i="6"/>
  <c r="AO25" i="6"/>
  <c r="AM24" i="6"/>
  <c r="AO16" i="6"/>
  <c r="AM15" i="6"/>
  <c r="AM6" i="6"/>
  <c r="AM4" i="6"/>
  <c r="U19" i="21"/>
  <c r="V19" i="21" s="1"/>
  <c r="AO23" i="21"/>
  <c r="AP68" i="21"/>
  <c r="AQ7" i="21"/>
  <c r="AP50" i="21"/>
  <c r="AO34" i="21"/>
  <c r="AP32" i="21"/>
  <c r="AQ67" i="21"/>
  <c r="AO69" i="21"/>
  <c r="AO70" i="21"/>
  <c r="AO13" i="21"/>
  <c r="AP69" i="21"/>
  <c r="AQ42" i="21"/>
  <c r="AO43" i="21"/>
  <c r="AP4" i="21"/>
  <c r="AO52" i="21"/>
  <c r="AQ61" i="21"/>
  <c r="AP6" i="21"/>
  <c r="AO22" i="21"/>
  <c r="AQ25" i="21"/>
  <c r="AP25" i="21"/>
  <c r="AQ24" i="21"/>
  <c r="AO24" i="21"/>
  <c r="AP23" i="21"/>
  <c r="AQ22" i="21"/>
  <c r="AQ59" i="21"/>
  <c r="AO51" i="21"/>
  <c r="AP60" i="21"/>
  <c r="BD103" i="21"/>
  <c r="BL119" i="21"/>
  <c r="N103" i="21"/>
  <c r="AO15" i="21"/>
  <c r="AO6" i="21"/>
  <c r="AP5" i="21"/>
  <c r="AQ15" i="21"/>
  <c r="AQ13" i="21"/>
  <c r="AP15" i="21"/>
  <c r="AP13" i="21"/>
  <c r="AQ16" i="21"/>
  <c r="AQ14" i="21"/>
  <c r="AO16" i="21"/>
  <c r="AO14" i="21"/>
  <c r="AP22" i="21"/>
  <c r="AP24" i="21"/>
  <c r="AO31" i="21"/>
  <c r="AO32" i="21"/>
  <c r="AP31" i="21"/>
  <c r="AQ31" i="21"/>
  <c r="AQ33" i="21"/>
  <c r="AO33" i="21"/>
  <c r="AQ32" i="21"/>
  <c r="AP34" i="21"/>
  <c r="AQ34" i="21"/>
  <c r="AP52" i="21"/>
  <c r="AO4" i="21"/>
  <c r="AP14" i="21"/>
  <c r="AQ4" i="21"/>
  <c r="AQ70" i="21"/>
  <c r="AQ68" i="21"/>
  <c r="AR68" i="21" s="1"/>
  <c r="AO58" i="21"/>
  <c r="AO59" i="21"/>
  <c r="AP58" i="21"/>
  <c r="AP61" i="21"/>
  <c r="AO61" i="21"/>
  <c r="AQ60" i="21"/>
  <c r="AO60" i="21"/>
  <c r="AP59" i="21"/>
  <c r="AQ58" i="21"/>
  <c r="AP7" i="21"/>
  <c r="AQ6" i="21"/>
  <c r="AQ5" i="21"/>
  <c r="AQ23" i="21"/>
  <c r="AO25" i="21"/>
  <c r="AO42" i="21"/>
  <c r="AQ49" i="21"/>
  <c r="AP16" i="21"/>
  <c r="AP33" i="21"/>
  <c r="AQ43" i="21"/>
  <c r="AP43" i="21"/>
  <c r="AP41" i="21"/>
  <c r="AQ40" i="21"/>
  <c r="AQ69" i="21"/>
  <c r="AO5" i="21"/>
  <c r="AQ50" i="21"/>
  <c r="AR50" i="21" s="1"/>
  <c r="AP51" i="21"/>
  <c r="BB87" i="21"/>
  <c r="AO40" i="21"/>
  <c r="AO41" i="21"/>
  <c r="AP40" i="21"/>
  <c r="AQ41" i="21"/>
  <c r="AP42" i="21"/>
  <c r="AQ51" i="21"/>
  <c r="AO67" i="21"/>
  <c r="AP70" i="21"/>
  <c r="AO68" i="21"/>
  <c r="AP67" i="21"/>
  <c r="BL108" i="21"/>
  <c r="BD94" i="21"/>
  <c r="AO7" i="21"/>
  <c r="AO49" i="21"/>
  <c r="AO50" i="21"/>
  <c r="AP49" i="21"/>
  <c r="AQ52" i="21"/>
  <c r="BL106" i="21"/>
  <c r="AK61" i="22" l="1"/>
  <c r="AJ61" i="22" s="1"/>
  <c r="AK58" i="22"/>
  <c r="AL61" i="22"/>
  <c r="AK59" i="22"/>
  <c r="AK50" i="22"/>
  <c r="AL40" i="22"/>
  <c r="AL42" i="22"/>
  <c r="AL43" i="22"/>
  <c r="AK40" i="22"/>
  <c r="AL41" i="22"/>
  <c r="AK43" i="22"/>
  <c r="AL31" i="22"/>
  <c r="AL32" i="22"/>
  <c r="AL22" i="22"/>
  <c r="AK24" i="22"/>
  <c r="AK22" i="22"/>
  <c r="AJ22" i="22" s="1"/>
  <c r="AL24" i="22"/>
  <c r="AL14" i="22"/>
  <c r="AK15" i="22"/>
  <c r="AK16" i="22"/>
  <c r="AK14" i="22"/>
  <c r="AK13" i="22"/>
  <c r="AJ13" i="22" s="1"/>
  <c r="AL16" i="22"/>
  <c r="AL13" i="22"/>
  <c r="AL15" i="22"/>
  <c r="AL5" i="22"/>
  <c r="AL6" i="22"/>
  <c r="AJ6" i="22" s="1"/>
  <c r="BP110" i="22"/>
  <c r="P94" i="22" s="1"/>
  <c r="U16" i="22" s="1"/>
  <c r="V16" i="22" s="1"/>
  <c r="AK52" i="22"/>
  <c r="AK49" i="22"/>
  <c r="AL33" i="22"/>
  <c r="AJ33" i="22" s="1"/>
  <c r="AK5" i="22"/>
  <c r="AK23" i="22"/>
  <c r="AL52" i="22"/>
  <c r="AL58" i="22"/>
  <c r="AJ58" i="22" s="1"/>
  <c r="AK31" i="22"/>
  <c r="AJ31" i="22" s="1"/>
  <c r="AK32" i="22"/>
  <c r="AK69" i="22"/>
  <c r="AL4" i="22"/>
  <c r="AK41" i="22"/>
  <c r="AL49" i="22"/>
  <c r="AL69" i="22"/>
  <c r="AL23" i="22"/>
  <c r="AK68" i="22"/>
  <c r="AL68" i="22"/>
  <c r="AL25" i="22"/>
  <c r="AJ25" i="22" s="1"/>
  <c r="AK51" i="22"/>
  <c r="AL60" i="22"/>
  <c r="AK34" i="22"/>
  <c r="AJ34" i="22" s="1"/>
  <c r="AK70" i="22"/>
  <c r="AK4" i="22"/>
  <c r="AK42" i="22"/>
  <c r="AJ42" i="22" s="1"/>
  <c r="AL50" i="22"/>
  <c r="AK60" i="22"/>
  <c r="AL7" i="22"/>
  <c r="AL51" i="22"/>
  <c r="AL59" i="22"/>
  <c r="AJ59" i="22" s="1"/>
  <c r="AK67" i="22"/>
  <c r="AJ67" i="22" s="1"/>
  <c r="AK7" i="22"/>
  <c r="AL70" i="22"/>
  <c r="AP31" i="6"/>
  <c r="AP25" i="6"/>
  <c r="AP60" i="6"/>
  <c r="AP42" i="6"/>
  <c r="AP33" i="6"/>
  <c r="AP13" i="6"/>
  <c r="BL114" i="21"/>
  <c r="BL113" i="21"/>
  <c r="N99" i="21"/>
  <c r="AK59" i="6"/>
  <c r="AP70" i="6"/>
  <c r="AP68" i="6"/>
  <c r="AI68" i="6" s="1"/>
  <c r="AK60" i="6"/>
  <c r="AP58" i="6"/>
  <c r="AP59" i="6"/>
  <c r="AK51" i="6"/>
  <c r="AK42" i="6"/>
  <c r="AK34" i="6"/>
  <c r="AK52" i="6"/>
  <c r="AK32" i="6"/>
  <c r="AP22" i="6"/>
  <c r="AP16" i="6"/>
  <c r="AR49" i="21"/>
  <c r="AR32" i="21"/>
  <c r="AK15" i="6"/>
  <c r="AK16" i="6"/>
  <c r="AP15" i="6"/>
  <c r="AP41" i="6"/>
  <c r="AJ41" i="6" s="1"/>
  <c r="AP7" i="6"/>
  <c r="AK24" i="6"/>
  <c r="AP23" i="6"/>
  <c r="AP24" i="6"/>
  <c r="AK25" i="6"/>
  <c r="AP5" i="6"/>
  <c r="AP4" i="6"/>
  <c r="AP6" i="6"/>
  <c r="AK7" i="6"/>
  <c r="AK14" i="6"/>
  <c r="AK50" i="6"/>
  <c r="AP32" i="6"/>
  <c r="AJ32" i="6" s="1"/>
  <c r="AK68" i="6"/>
  <c r="AK23" i="6"/>
  <c r="AP50" i="6"/>
  <c r="AI50" i="6" s="1"/>
  <c r="AK33" i="6"/>
  <c r="AP69" i="6"/>
  <c r="AK58" i="6"/>
  <c r="AI40" i="6"/>
  <c r="AJ40" i="6"/>
  <c r="AK40" i="6"/>
  <c r="AK13" i="6"/>
  <c r="AK67" i="6"/>
  <c r="AP61" i="6"/>
  <c r="AK43" i="6"/>
  <c r="AK4" i="6"/>
  <c r="AK31" i="6"/>
  <c r="AK22" i="6"/>
  <c r="AK6" i="6"/>
  <c r="AJ49" i="6"/>
  <c r="AK49" i="6"/>
  <c r="AK41" i="6"/>
  <c r="AP14" i="6"/>
  <c r="AK69" i="6"/>
  <c r="AK61" i="6"/>
  <c r="AK5" i="6"/>
  <c r="AK70" i="6"/>
  <c r="AR4" i="21"/>
  <c r="AM68" i="21"/>
  <c r="AR43" i="21"/>
  <c r="AR67" i="21"/>
  <c r="AR41" i="21"/>
  <c r="AR69" i="21"/>
  <c r="AR34" i="21"/>
  <c r="AR24" i="21"/>
  <c r="AM52" i="21"/>
  <c r="AM25" i="21"/>
  <c r="AM7" i="21"/>
  <c r="AR70" i="21"/>
  <c r="AR33" i="21"/>
  <c r="AR61" i="21"/>
  <c r="AR7" i="21"/>
  <c r="AR14" i="21"/>
  <c r="AM32" i="21"/>
  <c r="AM43" i="21"/>
  <c r="AM61" i="21"/>
  <c r="AM69" i="21"/>
  <c r="AM15" i="21"/>
  <c r="AR42" i="21"/>
  <c r="AR31" i="21"/>
  <c r="AM50" i="21"/>
  <c r="AR59" i="21"/>
  <c r="AM34" i="21"/>
  <c r="AR16" i="21"/>
  <c r="AR58" i="21"/>
  <c r="AM33" i="21"/>
  <c r="AM14" i="21"/>
  <c r="AR5" i="21"/>
  <c r="AR60" i="21"/>
  <c r="AM24" i="21"/>
  <c r="AM23" i="21"/>
  <c r="AR22" i="21"/>
  <c r="AR23" i="21"/>
  <c r="AM5" i="21"/>
  <c r="AM49" i="21"/>
  <c r="AR40" i="21"/>
  <c r="AM59" i="21"/>
  <c r="AM16" i="21"/>
  <c r="AM6" i="21"/>
  <c r="AM51" i="21"/>
  <c r="AM41" i="21"/>
  <c r="AR51" i="21"/>
  <c r="AM42" i="21"/>
  <c r="AM58" i="21"/>
  <c r="AR52" i="21"/>
  <c r="AM70" i="21"/>
  <c r="AR25" i="21"/>
  <c r="AM40" i="21"/>
  <c r="AM60" i="21"/>
  <c r="AR13" i="21"/>
  <c r="AM22" i="21"/>
  <c r="AM67" i="21"/>
  <c r="AM4" i="21"/>
  <c r="AM31" i="21"/>
  <c r="AR15" i="21"/>
  <c r="AR6" i="21"/>
  <c r="AM13" i="21"/>
  <c r="AJ69" i="22" l="1"/>
  <c r="AJ60" i="22"/>
  <c r="AI60" i="22" s="1"/>
  <c r="AJ50" i="22"/>
  <c r="AJ52" i="22"/>
  <c r="AJ51" i="22"/>
  <c r="AJ49" i="22"/>
  <c r="AJ40" i="22"/>
  <c r="AJ43" i="22"/>
  <c r="AJ41" i="22"/>
  <c r="AJ32" i="22"/>
  <c r="AI32" i="22" s="1"/>
  <c r="AJ24" i="22"/>
  <c r="AJ15" i="22"/>
  <c r="AI15" i="22" s="1"/>
  <c r="AJ16" i="22"/>
  <c r="AJ14" i="22"/>
  <c r="AJ7" i="22"/>
  <c r="AJ5" i="22"/>
  <c r="AI58" i="22"/>
  <c r="AI61" i="22"/>
  <c r="AJ4" i="22"/>
  <c r="AJ70" i="22"/>
  <c r="AJ68" i="22"/>
  <c r="AJ23" i="22"/>
  <c r="AI42" i="6"/>
  <c r="AI22" i="6"/>
  <c r="AI24" i="6"/>
  <c r="AJ69" i="6"/>
  <c r="AI59" i="6"/>
  <c r="AI49" i="6"/>
  <c r="AH49" i="6" s="1"/>
  <c r="AI51" i="6"/>
  <c r="AI43" i="6"/>
  <c r="AJ67" i="6"/>
  <c r="AI69" i="6"/>
  <c r="AJ70" i="6"/>
  <c r="AI70" i="6"/>
  <c r="AI67" i="6"/>
  <c r="AJ68" i="6"/>
  <c r="AH68" i="6" s="1"/>
  <c r="AI52" i="6"/>
  <c r="AJ51" i="6"/>
  <c r="AI41" i="6"/>
  <c r="AH41" i="6" s="1"/>
  <c r="AJ43" i="6"/>
  <c r="AJ42" i="6"/>
  <c r="AJ33" i="6"/>
  <c r="AI34" i="6"/>
  <c r="AJ34" i="6"/>
  <c r="AI32" i="6"/>
  <c r="AH32" i="6" s="1"/>
  <c r="AJ50" i="6"/>
  <c r="AH50" i="6" s="1"/>
  <c r="AJ52" i="6"/>
  <c r="AI33" i="6"/>
  <c r="AJ31" i="6"/>
  <c r="AI31" i="6"/>
  <c r="AI25" i="6"/>
  <c r="AI23" i="6"/>
  <c r="AH23" i="6" s="1"/>
  <c r="AJ23" i="6"/>
  <c r="AL69" i="21"/>
  <c r="AI16" i="6"/>
  <c r="AJ4" i="6"/>
  <c r="AI5" i="6"/>
  <c r="AI7" i="6"/>
  <c r="AJ22" i="6"/>
  <c r="AJ25" i="6"/>
  <c r="AJ24" i="6"/>
  <c r="AJ7" i="6"/>
  <c r="AJ6" i="6"/>
  <c r="AI4" i="6"/>
  <c r="AH4" i="6" s="1"/>
  <c r="AI6" i="6"/>
  <c r="AJ5" i="6"/>
  <c r="AJ13" i="6"/>
  <c r="AI60" i="6"/>
  <c r="AJ16" i="6"/>
  <c r="AI61" i="6"/>
  <c r="AI13" i="6"/>
  <c r="AH40" i="6"/>
  <c r="AJ14" i="6"/>
  <c r="AJ58" i="6"/>
  <c r="AI15" i="6"/>
  <c r="AI58" i="6"/>
  <c r="AJ15" i="6"/>
  <c r="AI14" i="6"/>
  <c r="AJ61" i="6"/>
  <c r="AJ59" i="6"/>
  <c r="AJ60" i="6"/>
  <c r="AK43" i="21"/>
  <c r="AL68" i="21"/>
  <c r="AK69" i="21"/>
  <c r="AK31" i="21"/>
  <c r="AK5" i="21"/>
  <c r="AL50" i="21"/>
  <c r="AL24" i="21"/>
  <c r="AL23" i="21"/>
  <c r="AK33" i="21"/>
  <c r="AL33" i="21"/>
  <c r="AK40" i="21"/>
  <c r="AL31" i="21"/>
  <c r="AK34" i="21"/>
  <c r="AK68" i="21"/>
  <c r="AJ68" i="21" s="1"/>
  <c r="AK22" i="21"/>
  <c r="AK42" i="21"/>
  <c r="AL7" i="21"/>
  <c r="AK59" i="21"/>
  <c r="AK70" i="21"/>
  <c r="AL67" i="21"/>
  <c r="AK32" i="21"/>
  <c r="AL70" i="21"/>
  <c r="AL34" i="21"/>
  <c r="AL15" i="21"/>
  <c r="AL32" i="21"/>
  <c r="AK7" i="21"/>
  <c r="AK67" i="21"/>
  <c r="AL5" i="21"/>
  <c r="AL22" i="21"/>
  <c r="AL59" i="21"/>
  <c r="AL43" i="21"/>
  <c r="AK41" i="21"/>
  <c r="AK25" i="21"/>
  <c r="AK6" i="21"/>
  <c r="AK23" i="21"/>
  <c r="AL41" i="21"/>
  <c r="AL49" i="21"/>
  <c r="AL52" i="21"/>
  <c r="AK51" i="21"/>
  <c r="AK60" i="21"/>
  <c r="AL13" i="21"/>
  <c r="AK13" i="21"/>
  <c r="AK16" i="21"/>
  <c r="AK14" i="21"/>
  <c r="AL60" i="21"/>
  <c r="AL51" i="21"/>
  <c r="AL6" i="21"/>
  <c r="AL25" i="21"/>
  <c r="AL42" i="21"/>
  <c r="AL58" i="21"/>
  <c r="AK61" i="21"/>
  <c r="AK49" i="21"/>
  <c r="AK52" i="21"/>
  <c r="AK4" i="21"/>
  <c r="AK58" i="21"/>
  <c r="AL16" i="21"/>
  <c r="AK50" i="21"/>
  <c r="AL14" i="21"/>
  <c r="AL61" i="21"/>
  <c r="AL4" i="21"/>
  <c r="AK24" i="21"/>
  <c r="AL40" i="21"/>
  <c r="AK15" i="21"/>
  <c r="AI68" i="22" l="1"/>
  <c r="AI59" i="22"/>
  <c r="AU61" i="22" s="1"/>
  <c r="AI49" i="22"/>
  <c r="AU49" i="22" s="1"/>
  <c r="AI51" i="22"/>
  <c r="AI52" i="22"/>
  <c r="AI50" i="22"/>
  <c r="AI41" i="22"/>
  <c r="AI42" i="22"/>
  <c r="AI40" i="22"/>
  <c r="AU40" i="22" s="1"/>
  <c r="AI43" i="22"/>
  <c r="AI33" i="22"/>
  <c r="AI31" i="22"/>
  <c r="AU32" i="22" s="1"/>
  <c r="AI34" i="22"/>
  <c r="AU34" i="22" s="1"/>
  <c r="AI16" i="22"/>
  <c r="AI14" i="22"/>
  <c r="AI13" i="22"/>
  <c r="AU13" i="22" s="1"/>
  <c r="AW13" i="22" s="1"/>
  <c r="AU58" i="22"/>
  <c r="AI70" i="22"/>
  <c r="AI4" i="22"/>
  <c r="AI6" i="22"/>
  <c r="AI67" i="22"/>
  <c r="AI69" i="22"/>
  <c r="AI7" i="22"/>
  <c r="AI23" i="22"/>
  <c r="AI24" i="22"/>
  <c r="AI22" i="22"/>
  <c r="AI5" i="22"/>
  <c r="AI25" i="22"/>
  <c r="AH67" i="6"/>
  <c r="AG67" i="6" s="1"/>
  <c r="AH59" i="6"/>
  <c r="AH42" i="6"/>
  <c r="AH24" i="6"/>
  <c r="AH22" i="6"/>
  <c r="AH70" i="6"/>
  <c r="AH69" i="6"/>
  <c r="AG69" i="6" s="1"/>
  <c r="AH51" i="6"/>
  <c r="AG49" i="6" s="1"/>
  <c r="AH43" i="6"/>
  <c r="AH34" i="6"/>
  <c r="AH33" i="6"/>
  <c r="AG68" i="6"/>
  <c r="AG70" i="6"/>
  <c r="AH58" i="6"/>
  <c r="AH52" i="6"/>
  <c r="AH31" i="6"/>
  <c r="AG34" i="6" s="1"/>
  <c r="AH25" i="6"/>
  <c r="AG24" i="6" s="1"/>
  <c r="AJ69" i="21"/>
  <c r="AJ70" i="21"/>
  <c r="AJ49" i="21"/>
  <c r="AJ31" i="21"/>
  <c r="AJ33" i="21"/>
  <c r="AJ15" i="21"/>
  <c r="AH14" i="6"/>
  <c r="AH15" i="6"/>
  <c r="AH16" i="6"/>
  <c r="AH13" i="6"/>
  <c r="AG14" i="6" s="1"/>
  <c r="AH5" i="6"/>
  <c r="AH7" i="6"/>
  <c r="AJ43" i="21"/>
  <c r="AJ7" i="21"/>
  <c r="AH6" i="6"/>
  <c r="AH60" i="6"/>
  <c r="AH61" i="6"/>
  <c r="AJ50" i="21"/>
  <c r="AJ67" i="21"/>
  <c r="AI68" i="21" s="1"/>
  <c r="AJ59" i="21"/>
  <c r="AJ24" i="21"/>
  <c r="AJ5" i="21"/>
  <c r="AJ58" i="21"/>
  <c r="AJ40" i="21"/>
  <c r="AJ42" i="21"/>
  <c r="AJ23" i="21"/>
  <c r="AJ25" i="21"/>
  <c r="AJ22" i="21"/>
  <c r="AJ32" i="21"/>
  <c r="AJ34" i="21"/>
  <c r="AJ6" i="21"/>
  <c r="AJ60" i="21"/>
  <c r="AJ52" i="21"/>
  <c r="AJ51" i="21"/>
  <c r="AJ14" i="21"/>
  <c r="AJ41" i="21"/>
  <c r="AJ61" i="21"/>
  <c r="AJ4" i="21"/>
  <c r="AJ16" i="21"/>
  <c r="AJ13" i="21"/>
  <c r="AU59" i="22" l="1"/>
  <c r="AV59" i="22" s="1"/>
  <c r="AU60" i="22"/>
  <c r="AW60" i="22" s="1"/>
  <c r="AU52" i="22"/>
  <c r="AY52" i="22" s="1"/>
  <c r="AU50" i="22"/>
  <c r="M50" i="22" s="1"/>
  <c r="F80" i="22" s="1"/>
  <c r="BD80" i="22" s="1"/>
  <c r="BL88" i="22" s="1"/>
  <c r="BN88" i="22" s="1"/>
  <c r="BO88" i="22" s="1"/>
  <c r="BP88" i="22" s="1"/>
  <c r="AU51" i="22"/>
  <c r="AY51" i="22" s="1"/>
  <c r="AU42" i="22"/>
  <c r="AW42" i="22" s="1"/>
  <c r="AU41" i="22"/>
  <c r="AX41" i="22" s="1"/>
  <c r="AU43" i="22"/>
  <c r="AW43" i="22" s="1"/>
  <c r="AU31" i="22"/>
  <c r="AW31" i="22" s="1"/>
  <c r="AU33" i="22"/>
  <c r="AY33" i="22" s="1"/>
  <c r="M13" i="22"/>
  <c r="AV13" i="22"/>
  <c r="AU15" i="22"/>
  <c r="AX13" i="22"/>
  <c r="AY13" i="22"/>
  <c r="AU16" i="22"/>
  <c r="AV16" i="22" s="1"/>
  <c r="AU14" i="22"/>
  <c r="AX14" i="22" s="1"/>
  <c r="M14" i="22"/>
  <c r="P14" i="22" s="1"/>
  <c r="AW14" i="22"/>
  <c r="O14" i="22" s="1"/>
  <c r="AV14" i="22"/>
  <c r="AU5" i="22"/>
  <c r="AU6" i="22"/>
  <c r="AU7" i="22"/>
  <c r="AU4" i="22"/>
  <c r="AU25" i="22"/>
  <c r="AU23" i="22"/>
  <c r="AU24" i="22"/>
  <c r="AU22" i="22"/>
  <c r="AW52" i="22"/>
  <c r="AY58" i="22"/>
  <c r="AX58" i="22"/>
  <c r="AW58" i="22"/>
  <c r="M58" i="22"/>
  <c r="D81" i="22" s="1"/>
  <c r="AV58" i="22"/>
  <c r="AY34" i="22"/>
  <c r="AX34" i="22"/>
  <c r="AV34" i="22"/>
  <c r="AW34" i="22"/>
  <c r="M34" i="22"/>
  <c r="AY40" i="22"/>
  <c r="AW40" i="22"/>
  <c r="M40" i="22"/>
  <c r="D80" i="22" s="1"/>
  <c r="AV40" i="22"/>
  <c r="AX40" i="22"/>
  <c r="AU68" i="22"/>
  <c r="AU69" i="22"/>
  <c r="AU67" i="22"/>
  <c r="AU70" i="22"/>
  <c r="AX60" i="22"/>
  <c r="AV15" i="22"/>
  <c r="AW15" i="22"/>
  <c r="M15" i="22"/>
  <c r="AY15" i="22"/>
  <c r="AX15" i="22"/>
  <c r="AY49" i="22"/>
  <c r="AX49" i="22"/>
  <c r="AW49" i="22"/>
  <c r="M49" i="22"/>
  <c r="D82" i="22" s="1"/>
  <c r="BB82" i="22" s="1"/>
  <c r="BL82" i="22" s="1"/>
  <c r="BN82" i="22" s="1"/>
  <c r="BO82" i="22" s="1"/>
  <c r="BP82" i="22" s="1"/>
  <c r="AV49" i="22"/>
  <c r="AV32" i="22"/>
  <c r="AX32" i="22"/>
  <c r="M32" i="22"/>
  <c r="F76" i="22" s="1"/>
  <c r="BD76" i="22" s="1"/>
  <c r="BL84" i="22" s="1"/>
  <c r="BN84" i="22" s="1"/>
  <c r="AY32" i="22"/>
  <c r="AW32" i="22"/>
  <c r="AW50" i="22"/>
  <c r="AY50" i="22"/>
  <c r="AX50" i="22"/>
  <c r="AY61" i="22"/>
  <c r="AX61" i="22"/>
  <c r="AW61" i="22"/>
  <c r="M61" i="22"/>
  <c r="AV61" i="22"/>
  <c r="AG4" i="6"/>
  <c r="AS67" i="6"/>
  <c r="AW67" i="6" s="1"/>
  <c r="AG50" i="6"/>
  <c r="AG40" i="6"/>
  <c r="AS42" i="6" s="1"/>
  <c r="AI49" i="21"/>
  <c r="AS69" i="6"/>
  <c r="AV69" i="6" s="1"/>
  <c r="AG52" i="6"/>
  <c r="AG43" i="6"/>
  <c r="AG42" i="6"/>
  <c r="AG41" i="6"/>
  <c r="AS41" i="6" s="1"/>
  <c r="AG5" i="6"/>
  <c r="AS68" i="6"/>
  <c r="AT68" i="6" s="1"/>
  <c r="AG58" i="6"/>
  <c r="AS70" i="6"/>
  <c r="AT70" i="6" s="1"/>
  <c r="AG61" i="6"/>
  <c r="AG51" i="6"/>
  <c r="AS49" i="6"/>
  <c r="L49" i="6" s="1"/>
  <c r="AG31" i="6"/>
  <c r="AG32" i="6"/>
  <c r="AG33" i="6"/>
  <c r="AG25" i="6"/>
  <c r="AG22" i="6"/>
  <c r="AG23" i="6"/>
  <c r="AI69" i="21"/>
  <c r="AI67" i="21"/>
  <c r="AI33" i="21"/>
  <c r="AI34" i="21"/>
  <c r="AI23" i="21"/>
  <c r="AI22" i="21"/>
  <c r="AI25" i="21"/>
  <c r="AG13" i="6"/>
  <c r="AG16" i="6"/>
  <c r="AG15" i="6"/>
  <c r="AG7" i="6"/>
  <c r="AG6" i="6"/>
  <c r="AG59" i="6"/>
  <c r="L67" i="6"/>
  <c r="AT67" i="6"/>
  <c r="AG60" i="6"/>
  <c r="AI40" i="21"/>
  <c r="AI24" i="21"/>
  <c r="AI70" i="21"/>
  <c r="AI32" i="21"/>
  <c r="AI61" i="21"/>
  <c r="AI52" i="21"/>
  <c r="AI51" i="21"/>
  <c r="AI31" i="21"/>
  <c r="AI41" i="21"/>
  <c r="AI43" i="21"/>
  <c r="AI42" i="21"/>
  <c r="AI50" i="21"/>
  <c r="AI16" i="21"/>
  <c r="AI59" i="21"/>
  <c r="AI4" i="21"/>
  <c r="AI5" i="21"/>
  <c r="AI7" i="21"/>
  <c r="AI13" i="21"/>
  <c r="AI14" i="21"/>
  <c r="AI15" i="21"/>
  <c r="AI58" i="21"/>
  <c r="AI6" i="21"/>
  <c r="AU49" i="21"/>
  <c r="AI60" i="21"/>
  <c r="N81" i="22" l="1"/>
  <c r="BB81" i="22"/>
  <c r="BL81" i="22" s="1"/>
  <c r="BN81" i="22" s="1"/>
  <c r="BO81" i="22" s="1"/>
  <c r="BP81" i="22" s="1"/>
  <c r="AY60" i="22"/>
  <c r="Q60" i="22" s="1"/>
  <c r="M59" i="22"/>
  <c r="AY59" i="22"/>
  <c r="M60" i="22"/>
  <c r="AW59" i="22"/>
  <c r="AX59" i="22"/>
  <c r="AV60" i="22"/>
  <c r="AV52" i="22"/>
  <c r="M52" i="22"/>
  <c r="AX52" i="22"/>
  <c r="AV50" i="22"/>
  <c r="AV51" i="22"/>
  <c r="N51" i="22" s="1"/>
  <c r="M51" i="22"/>
  <c r="AX51" i="22"/>
  <c r="AW51" i="22"/>
  <c r="O51" i="22" s="1"/>
  <c r="BB80" i="22"/>
  <c r="BL80" i="22" s="1"/>
  <c r="BN80" i="22" s="1"/>
  <c r="BO80" i="22" s="1"/>
  <c r="BP80" i="22" s="1"/>
  <c r="N80" i="22"/>
  <c r="AY41" i="22"/>
  <c r="AV41" i="22"/>
  <c r="M41" i="22"/>
  <c r="F82" i="22" s="1"/>
  <c r="AV42" i="22"/>
  <c r="AW41" i="22"/>
  <c r="M42" i="22"/>
  <c r="AX42" i="22"/>
  <c r="AY42" i="22"/>
  <c r="AY43" i="22"/>
  <c r="AV43" i="22"/>
  <c r="AX43" i="22"/>
  <c r="M43" i="22"/>
  <c r="O43" i="22" s="1"/>
  <c r="BO84" i="22"/>
  <c r="BP84" i="22" s="1"/>
  <c r="AY31" i="22"/>
  <c r="AX31" i="22"/>
  <c r="AV33" i="22"/>
  <c r="AW33" i="22"/>
  <c r="AV31" i="22"/>
  <c r="AX33" i="22"/>
  <c r="M31" i="22"/>
  <c r="D79" i="22" s="1"/>
  <c r="BB79" i="22" s="1"/>
  <c r="BL79" i="22" s="1"/>
  <c r="BN79" i="22" s="1"/>
  <c r="BO79" i="22" s="1"/>
  <c r="BP79" i="22" s="1"/>
  <c r="M33" i="22"/>
  <c r="Q14" i="22"/>
  <c r="AY16" i="22"/>
  <c r="N14" i="22"/>
  <c r="F77" i="22"/>
  <c r="BD77" i="22" s="1"/>
  <c r="BL85" i="22" s="1"/>
  <c r="BN85" i="22" s="1"/>
  <c r="BO85" i="22" s="1"/>
  <c r="BP85" i="22" s="1"/>
  <c r="Q13" i="22"/>
  <c r="D78" i="22"/>
  <c r="BB78" i="22" s="1"/>
  <c r="BL78" i="22" s="1"/>
  <c r="BN78" i="22" s="1"/>
  <c r="BO78" i="22" s="1"/>
  <c r="BP78" i="22" s="1"/>
  <c r="AY14" i="22"/>
  <c r="M16" i="22"/>
  <c r="Q16" i="22" s="1"/>
  <c r="AX16" i="22"/>
  <c r="O13" i="22"/>
  <c r="AW16" i="22"/>
  <c r="P13" i="22"/>
  <c r="N13" i="22"/>
  <c r="AS4" i="6"/>
  <c r="AU4" i="6" s="1"/>
  <c r="AY70" i="22"/>
  <c r="AX70" i="22"/>
  <c r="AW70" i="22"/>
  <c r="M70" i="22"/>
  <c r="AV70" i="22"/>
  <c r="AY4" i="22"/>
  <c r="AW4" i="22"/>
  <c r="AX4" i="22"/>
  <c r="AV4" i="22"/>
  <c r="M4" i="22"/>
  <c r="D77" i="22" s="1"/>
  <c r="Q34" i="22"/>
  <c r="P34" i="22"/>
  <c r="O34" i="22"/>
  <c r="N34" i="22"/>
  <c r="AY7" i="22"/>
  <c r="AX7" i="22"/>
  <c r="AV7" i="22"/>
  <c r="AW7" i="22"/>
  <c r="M7" i="22"/>
  <c r="AW6" i="22"/>
  <c r="AV6" i="22"/>
  <c r="M6" i="22"/>
  <c r="AX6" i="22"/>
  <c r="AY6" i="22"/>
  <c r="Q32" i="22"/>
  <c r="P32" i="22"/>
  <c r="N32" i="22"/>
  <c r="O32" i="22"/>
  <c r="AY68" i="22"/>
  <c r="AX68" i="22"/>
  <c r="AW68" i="22"/>
  <c r="M68" i="22"/>
  <c r="F81" i="22" s="1"/>
  <c r="BD81" i="22" s="1"/>
  <c r="BL89" i="22" s="1"/>
  <c r="BN89" i="22" s="1"/>
  <c r="BO89" i="22" s="1"/>
  <c r="BP89" i="22" s="1"/>
  <c r="AV68" i="22"/>
  <c r="M5" i="22"/>
  <c r="F78" i="22" s="1"/>
  <c r="AX5" i="22"/>
  <c r="AY5" i="22"/>
  <c r="AV5" i="22"/>
  <c r="AW5" i="22"/>
  <c r="P51" i="22"/>
  <c r="Q51" i="22"/>
  <c r="O60" i="22"/>
  <c r="N60" i="22"/>
  <c r="P60" i="22"/>
  <c r="Q52" i="22"/>
  <c r="P52" i="22"/>
  <c r="O52" i="22"/>
  <c r="N52" i="22"/>
  <c r="Q40" i="22"/>
  <c r="P40" i="22"/>
  <c r="O40" i="22"/>
  <c r="N40" i="22"/>
  <c r="P41" i="22"/>
  <c r="O15" i="22"/>
  <c r="N15" i="22"/>
  <c r="P15" i="22"/>
  <c r="Q15" i="22"/>
  <c r="AY22" i="22"/>
  <c r="AV22" i="22"/>
  <c r="AX22" i="22"/>
  <c r="AW22" i="22"/>
  <c r="M22" i="22"/>
  <c r="D76" i="22" s="1"/>
  <c r="AX24" i="22"/>
  <c r="AW24" i="22"/>
  <c r="M24" i="22"/>
  <c r="AV24" i="22"/>
  <c r="AY24" i="22"/>
  <c r="AX69" i="22"/>
  <c r="AW69" i="22"/>
  <c r="M69" i="22"/>
  <c r="AV69" i="22"/>
  <c r="AY69" i="22"/>
  <c r="AY23" i="22"/>
  <c r="M23" i="22"/>
  <c r="F79" i="22" s="1"/>
  <c r="AW23" i="22"/>
  <c r="AX23" i="22"/>
  <c r="AV23" i="22"/>
  <c r="AY25" i="22"/>
  <c r="AW25" i="22"/>
  <c r="M25" i="22"/>
  <c r="AX25" i="22"/>
  <c r="AV25" i="22"/>
  <c r="Q49" i="22"/>
  <c r="P49" i="22"/>
  <c r="O49" i="22"/>
  <c r="N49" i="22"/>
  <c r="Q50" i="22"/>
  <c r="P50" i="22"/>
  <c r="O50" i="22"/>
  <c r="N50" i="22"/>
  <c r="Q58" i="22"/>
  <c r="P58" i="22"/>
  <c r="O58" i="22"/>
  <c r="N58" i="22"/>
  <c r="Q61" i="22"/>
  <c r="P61" i="22"/>
  <c r="O61" i="22"/>
  <c r="N61" i="22"/>
  <c r="AY67" i="22"/>
  <c r="AX67" i="22"/>
  <c r="AW67" i="22"/>
  <c r="M67" i="22"/>
  <c r="D83" i="22" s="1"/>
  <c r="BB83" i="22" s="1"/>
  <c r="BL83" i="22" s="1"/>
  <c r="BN83" i="22" s="1"/>
  <c r="BO83" i="22" s="1"/>
  <c r="BP83" i="22" s="1"/>
  <c r="AV67" i="22"/>
  <c r="AU69" i="6"/>
  <c r="AT69" i="6"/>
  <c r="AW69" i="6"/>
  <c r="AV67" i="6"/>
  <c r="AU67" i="6"/>
  <c r="AS25" i="6"/>
  <c r="AT25" i="6" s="1"/>
  <c r="AV68" i="6"/>
  <c r="AI83" i="6"/>
  <c r="BM83" i="21"/>
  <c r="AW70" i="6"/>
  <c r="AS58" i="6"/>
  <c r="AW58" i="6" s="1"/>
  <c r="AS52" i="6"/>
  <c r="AV52" i="6" s="1"/>
  <c r="AI82" i="6"/>
  <c r="BM82" i="21"/>
  <c r="AS51" i="6"/>
  <c r="AU51" i="6" s="1"/>
  <c r="AS40" i="6"/>
  <c r="AU40" i="6" s="1"/>
  <c r="AS43" i="6"/>
  <c r="AT43" i="6" s="1"/>
  <c r="AW68" i="6"/>
  <c r="AV70" i="6"/>
  <c r="AU68" i="6"/>
  <c r="AU70" i="6"/>
  <c r="AS61" i="6"/>
  <c r="AV61" i="6" s="1"/>
  <c r="AS50" i="6"/>
  <c r="AU49" i="6"/>
  <c r="AT49" i="6"/>
  <c r="AW49" i="6"/>
  <c r="AV49" i="6"/>
  <c r="AS33" i="6"/>
  <c r="AS31" i="6"/>
  <c r="AS34" i="6"/>
  <c r="AS32" i="6"/>
  <c r="AS24" i="6"/>
  <c r="AT24" i="6" s="1"/>
  <c r="AS22" i="6"/>
  <c r="AS23" i="6"/>
  <c r="AU23" i="6" s="1"/>
  <c r="AS14" i="6"/>
  <c r="AV14" i="6" s="1"/>
  <c r="AS13" i="6"/>
  <c r="AU13" i="6" s="1"/>
  <c r="AS15" i="6"/>
  <c r="AT15" i="6" s="1"/>
  <c r="AS16" i="6"/>
  <c r="AU16" i="6" s="1"/>
  <c r="AU70" i="21"/>
  <c r="AX70" i="21" s="1"/>
  <c r="AU67" i="21"/>
  <c r="M67" i="21" s="1"/>
  <c r="D83" i="21" s="1"/>
  <c r="AU69" i="21"/>
  <c r="AW69" i="21" s="1"/>
  <c r="AU68" i="21"/>
  <c r="AV68" i="21" s="1"/>
  <c r="AU52" i="21"/>
  <c r="M52" i="21" s="1"/>
  <c r="AU41" i="21"/>
  <c r="AW41" i="21" s="1"/>
  <c r="AU40" i="21"/>
  <c r="AY40" i="21" s="1"/>
  <c r="AU43" i="21"/>
  <c r="AW43" i="21" s="1"/>
  <c r="AU31" i="21"/>
  <c r="AW31" i="21" s="1"/>
  <c r="AU32" i="21"/>
  <c r="AV32" i="21" s="1"/>
  <c r="AU23" i="21"/>
  <c r="AW23" i="21" s="1"/>
  <c r="AU24" i="21"/>
  <c r="AX24" i="21" s="1"/>
  <c r="AU22" i="21"/>
  <c r="AV22" i="21" s="1"/>
  <c r="AU25" i="21"/>
  <c r="AX25" i="21" s="1"/>
  <c r="AS5" i="6"/>
  <c r="AT5" i="6" s="1"/>
  <c r="AS6" i="6"/>
  <c r="AT6" i="6" s="1"/>
  <c r="AU42" i="21"/>
  <c r="AW42" i="21" s="1"/>
  <c r="AS7" i="6"/>
  <c r="AV7" i="6" s="1"/>
  <c r="AV42" i="6"/>
  <c r="AW42" i="6"/>
  <c r="AT42" i="6"/>
  <c r="AU42" i="6"/>
  <c r="AW4" i="6"/>
  <c r="AT4" i="6"/>
  <c r="AV4" i="6"/>
  <c r="AS59" i="6"/>
  <c r="AS60" i="6"/>
  <c r="AT41" i="6"/>
  <c r="AU41" i="6"/>
  <c r="AV41" i="6"/>
  <c r="AW41" i="6"/>
  <c r="AU33" i="21"/>
  <c r="AY33" i="21" s="1"/>
  <c r="AU34" i="21"/>
  <c r="AV34" i="21" s="1"/>
  <c r="AU51" i="21"/>
  <c r="AV51" i="21" s="1"/>
  <c r="AU50" i="21"/>
  <c r="AY50" i="21" s="1"/>
  <c r="AU15" i="21"/>
  <c r="AU13" i="21"/>
  <c r="AU14" i="21"/>
  <c r="AU16" i="21"/>
  <c r="AY49" i="21"/>
  <c r="AX49" i="21"/>
  <c r="AW49" i="21"/>
  <c r="M49" i="21"/>
  <c r="D82" i="21" s="1"/>
  <c r="AV49" i="21"/>
  <c r="AU61" i="21"/>
  <c r="AU59" i="21"/>
  <c r="AU58" i="21"/>
  <c r="AU60" i="21"/>
  <c r="AU7" i="21"/>
  <c r="AU4" i="21"/>
  <c r="AU5" i="21"/>
  <c r="AU6" i="21"/>
  <c r="O59" i="22" l="1"/>
  <c r="F83" i="22"/>
  <c r="P59" i="22"/>
  <c r="Q59" i="22"/>
  <c r="N59" i="22"/>
  <c r="Q42" i="22"/>
  <c r="O41" i="22"/>
  <c r="BD82" i="22"/>
  <c r="BL90" i="22" s="1"/>
  <c r="BN90" i="22" s="1"/>
  <c r="BO90" i="22" s="1"/>
  <c r="BP90" i="22" s="1"/>
  <c r="N82" i="22"/>
  <c r="P43" i="22"/>
  <c r="N43" i="22"/>
  <c r="N41" i="22"/>
  <c r="N42" i="22"/>
  <c r="O42" i="22"/>
  <c r="Q43" i="22"/>
  <c r="Q41" i="22"/>
  <c r="P42" i="22"/>
  <c r="N31" i="22"/>
  <c r="O31" i="22"/>
  <c r="N33" i="22"/>
  <c r="Q31" i="22"/>
  <c r="Q33" i="22"/>
  <c r="P31" i="22"/>
  <c r="P33" i="22"/>
  <c r="O33" i="22"/>
  <c r="BD79" i="22"/>
  <c r="BL87" i="22" s="1"/>
  <c r="BN87" i="22" s="1"/>
  <c r="BO87" i="22" s="1"/>
  <c r="BP87" i="22" s="1"/>
  <c r="N79" i="22"/>
  <c r="N76" i="22"/>
  <c r="O76" i="22"/>
  <c r="BB76" i="22"/>
  <c r="BL76" i="22" s="1"/>
  <c r="BN76" i="22" s="1"/>
  <c r="BO76" i="22" s="1"/>
  <c r="BP76" i="22" s="1"/>
  <c r="N16" i="22"/>
  <c r="O16" i="22"/>
  <c r="P16" i="22"/>
  <c r="BD78" i="22"/>
  <c r="BL86" i="22" s="1"/>
  <c r="BN86" i="22" s="1"/>
  <c r="BO86" i="22" s="1"/>
  <c r="BP86" i="22" s="1"/>
  <c r="N78" i="22"/>
  <c r="BB77" i="22"/>
  <c r="BL77" i="22" s="1"/>
  <c r="BN77" i="22" s="1"/>
  <c r="BO77" i="22" s="1"/>
  <c r="BP77" i="22" s="1"/>
  <c r="N77" i="22"/>
  <c r="Q70" i="22"/>
  <c r="P70" i="22"/>
  <c r="O70" i="22"/>
  <c r="N70" i="22"/>
  <c r="N69" i="22"/>
  <c r="Q69" i="22"/>
  <c r="P69" i="22"/>
  <c r="O69" i="22"/>
  <c r="Q22" i="22"/>
  <c r="P22" i="22"/>
  <c r="O22" i="22"/>
  <c r="N22" i="22"/>
  <c r="P7" i="22"/>
  <c r="O7" i="22"/>
  <c r="N7" i="22"/>
  <c r="Q7" i="22"/>
  <c r="P23" i="22"/>
  <c r="Q23" i="22"/>
  <c r="O23" i="22"/>
  <c r="N23" i="22"/>
  <c r="O5" i="22"/>
  <c r="Q5" i="22"/>
  <c r="P5" i="22"/>
  <c r="N5" i="22"/>
  <c r="Q68" i="22"/>
  <c r="P68" i="22"/>
  <c r="O68" i="22"/>
  <c r="N68" i="22"/>
  <c r="N24" i="22"/>
  <c r="P24" i="22"/>
  <c r="O24" i="22"/>
  <c r="Q24" i="22"/>
  <c r="N6" i="22"/>
  <c r="Q6" i="22"/>
  <c r="O6" i="22"/>
  <c r="P6" i="22"/>
  <c r="Q4" i="22"/>
  <c r="P4" i="22"/>
  <c r="O4" i="22"/>
  <c r="N4" i="22"/>
  <c r="P67" i="22"/>
  <c r="O67" i="22"/>
  <c r="N67" i="22"/>
  <c r="Q67" i="22"/>
  <c r="Q25" i="22"/>
  <c r="P25" i="22"/>
  <c r="O25" i="22"/>
  <c r="N25" i="22"/>
  <c r="AV58" i="6"/>
  <c r="AU58" i="6"/>
  <c r="AT58" i="6"/>
  <c r="AT40" i="6"/>
  <c r="AW40" i="6"/>
  <c r="AV25" i="6"/>
  <c r="AW25" i="6"/>
  <c r="AU25" i="6"/>
  <c r="AY70" i="21"/>
  <c r="M70" i="21"/>
  <c r="AW52" i="6"/>
  <c r="AT52" i="6"/>
  <c r="AU52" i="6"/>
  <c r="AV51" i="6"/>
  <c r="AT51" i="6"/>
  <c r="AW51" i="6"/>
  <c r="AW43" i="6"/>
  <c r="AV43" i="6"/>
  <c r="AU43" i="6"/>
  <c r="AV40" i="6"/>
  <c r="L24" i="6"/>
  <c r="AW24" i="6"/>
  <c r="AV24" i="6"/>
  <c r="AT61" i="6"/>
  <c r="AU61" i="6"/>
  <c r="AW61" i="6"/>
  <c r="AW50" i="6"/>
  <c r="AU50" i="6"/>
  <c r="AT50" i="6"/>
  <c r="AV50" i="6"/>
  <c r="AT32" i="6"/>
  <c r="AU32" i="6"/>
  <c r="AV32" i="6"/>
  <c r="AW32" i="6"/>
  <c r="AU34" i="6"/>
  <c r="AV34" i="6"/>
  <c r="AT34" i="6"/>
  <c r="AW34" i="6"/>
  <c r="AV31" i="6"/>
  <c r="AW31" i="6"/>
  <c r="AU31" i="6"/>
  <c r="AT31" i="6"/>
  <c r="AU33" i="6"/>
  <c r="AT33" i="6"/>
  <c r="AW33" i="6"/>
  <c r="AV33" i="6"/>
  <c r="AT23" i="6"/>
  <c r="AU24" i="6"/>
  <c r="AV23" i="6"/>
  <c r="AU22" i="6"/>
  <c r="AV22" i="6"/>
  <c r="AT22" i="6"/>
  <c r="AW22" i="6"/>
  <c r="AW23" i="6"/>
  <c r="AW14" i="6"/>
  <c r="AT14" i="6"/>
  <c r="AU14" i="6"/>
  <c r="L13" i="6"/>
  <c r="AW13" i="6"/>
  <c r="AT13" i="6"/>
  <c r="AV13" i="6"/>
  <c r="AU15" i="6"/>
  <c r="AW16" i="6"/>
  <c r="AW15" i="6"/>
  <c r="AV15" i="6"/>
  <c r="AT16" i="6"/>
  <c r="AV16" i="6"/>
  <c r="M68" i="21"/>
  <c r="F81" i="21" s="1"/>
  <c r="BD81" i="21" s="1"/>
  <c r="BL89" i="21" s="1"/>
  <c r="AY68" i="21"/>
  <c r="AW70" i="21"/>
  <c r="O70" i="21" s="1"/>
  <c r="AV70" i="21"/>
  <c r="AX68" i="21"/>
  <c r="AW68" i="21"/>
  <c r="AY67" i="21"/>
  <c r="AY69" i="21"/>
  <c r="AX69" i="21"/>
  <c r="AW67" i="21"/>
  <c r="O67" i="21" s="1"/>
  <c r="AX67" i="21"/>
  <c r="P67" i="21" s="1"/>
  <c r="AV69" i="21"/>
  <c r="M69" i="21"/>
  <c r="AV67" i="21"/>
  <c r="N67" i="21" s="1"/>
  <c r="AW50" i="21"/>
  <c r="AV52" i="21"/>
  <c r="N52" i="21" s="1"/>
  <c r="AX50" i="21"/>
  <c r="AW52" i="21"/>
  <c r="O52" i="21" s="1"/>
  <c r="AY52" i="21"/>
  <c r="Q52" i="21" s="1"/>
  <c r="AY51" i="21"/>
  <c r="AX52" i="21"/>
  <c r="P52" i="21" s="1"/>
  <c r="M51" i="21"/>
  <c r="AY41" i="21"/>
  <c r="AX41" i="21"/>
  <c r="AV41" i="21"/>
  <c r="M41" i="21"/>
  <c r="AV43" i="21"/>
  <c r="AW40" i="21"/>
  <c r="M40" i="21"/>
  <c r="D80" i="21" s="1"/>
  <c r="AX40" i="21"/>
  <c r="AV40" i="21"/>
  <c r="AX43" i="21"/>
  <c r="AY42" i="21"/>
  <c r="M43" i="21"/>
  <c r="AV42" i="21"/>
  <c r="AY43" i="21"/>
  <c r="AY31" i="21"/>
  <c r="M31" i="21"/>
  <c r="D79" i="21" s="1"/>
  <c r="AX31" i="21"/>
  <c r="AV31" i="21"/>
  <c r="AW32" i="21"/>
  <c r="AX32" i="21"/>
  <c r="AW34" i="21"/>
  <c r="AY34" i="21"/>
  <c r="M33" i="21"/>
  <c r="AW33" i="21"/>
  <c r="AY32" i="21"/>
  <c r="AV33" i="21"/>
  <c r="N33" i="21" s="1"/>
  <c r="M34" i="21"/>
  <c r="N34" i="21" s="1"/>
  <c r="AX33" i="21"/>
  <c r="M32" i="21"/>
  <c r="AW25" i="21"/>
  <c r="M25" i="21"/>
  <c r="AV25" i="21"/>
  <c r="AY25" i="21"/>
  <c r="M23" i="21"/>
  <c r="F79" i="21" s="1"/>
  <c r="BD79" i="21" s="1"/>
  <c r="BL87" i="21" s="1"/>
  <c r="AV23" i="21"/>
  <c r="AX23" i="21"/>
  <c r="P23" i="21" s="1"/>
  <c r="AY23" i="21"/>
  <c r="AY24" i="21"/>
  <c r="AY22" i="21"/>
  <c r="AW24" i="21"/>
  <c r="AX22" i="21"/>
  <c r="AV24" i="21"/>
  <c r="AW22" i="21"/>
  <c r="M24" i="21"/>
  <c r="M22" i="21"/>
  <c r="AW5" i="6"/>
  <c r="AV5" i="6"/>
  <c r="AU5" i="6"/>
  <c r="AX42" i="21"/>
  <c r="M42" i="21"/>
  <c r="O42" i="21" s="1"/>
  <c r="AT7" i="6"/>
  <c r="AV6" i="6"/>
  <c r="AU6" i="6"/>
  <c r="AW6" i="6"/>
  <c r="AW7" i="6"/>
  <c r="AU7" i="6"/>
  <c r="AT59" i="6"/>
  <c r="AU59" i="6"/>
  <c r="AV59" i="6"/>
  <c r="AW59" i="6"/>
  <c r="AV60" i="6"/>
  <c r="AW60" i="6"/>
  <c r="AT60" i="6"/>
  <c r="AU60" i="6"/>
  <c r="AV50" i="21"/>
  <c r="AW51" i="21"/>
  <c r="M50" i="21"/>
  <c r="F80" i="21" s="1"/>
  <c r="BD80" i="21" s="1"/>
  <c r="BL88" i="21" s="1"/>
  <c r="AX34" i="21"/>
  <c r="AX51" i="21"/>
  <c r="O49" i="21"/>
  <c r="N49" i="21"/>
  <c r="P49" i="21"/>
  <c r="Q49" i="21"/>
  <c r="AY6" i="21"/>
  <c r="AX6" i="21"/>
  <c r="AV6" i="21"/>
  <c r="M6" i="21"/>
  <c r="AW6" i="21"/>
  <c r="AW16" i="21"/>
  <c r="AV16" i="21"/>
  <c r="M16" i="21"/>
  <c r="AY16" i="21"/>
  <c r="AX16" i="21"/>
  <c r="N51" i="21"/>
  <c r="Q51" i="21"/>
  <c r="AW5" i="21"/>
  <c r="AV5" i="21"/>
  <c r="M5" i="21"/>
  <c r="F78" i="21" s="1"/>
  <c r="AY5" i="21"/>
  <c r="AX5" i="21"/>
  <c r="Q67" i="21"/>
  <c r="AW14" i="21"/>
  <c r="AV14" i="21"/>
  <c r="M14" i="21"/>
  <c r="F77" i="21" s="1"/>
  <c r="AY14" i="21"/>
  <c r="AX14" i="21"/>
  <c r="Q40" i="21"/>
  <c r="AY4" i="21"/>
  <c r="AW4" i="21"/>
  <c r="AV4" i="21"/>
  <c r="M4" i="21"/>
  <c r="D77" i="21" s="1"/>
  <c r="AX4" i="21"/>
  <c r="AW60" i="21"/>
  <c r="M60" i="21"/>
  <c r="AV60" i="21"/>
  <c r="AX60" i="21"/>
  <c r="AY60" i="21"/>
  <c r="AX13" i="21"/>
  <c r="AW13" i="21"/>
  <c r="M13" i="21"/>
  <c r="D78" i="21" s="1"/>
  <c r="AY13" i="21"/>
  <c r="AV13" i="21"/>
  <c r="AY58" i="21"/>
  <c r="AX58" i="21"/>
  <c r="AV58" i="21"/>
  <c r="M58" i="21"/>
  <c r="D81" i="21" s="1"/>
  <c r="AW58" i="21"/>
  <c r="AX59" i="21"/>
  <c r="AW59" i="21"/>
  <c r="M59" i="21"/>
  <c r="F83" i="21" s="1"/>
  <c r="AY59" i="21"/>
  <c r="AV59" i="21"/>
  <c r="Q70" i="21"/>
  <c r="P70" i="21"/>
  <c r="N70" i="21"/>
  <c r="AV61" i="21"/>
  <c r="AW61" i="21"/>
  <c r="M61" i="21"/>
  <c r="AX61" i="21"/>
  <c r="AY61" i="21"/>
  <c r="Q25" i="21"/>
  <c r="P25" i="21"/>
  <c r="N25" i="21"/>
  <c r="O25" i="21"/>
  <c r="AY7" i="21"/>
  <c r="AW7" i="21"/>
  <c r="M7" i="21"/>
  <c r="AV7" i="21"/>
  <c r="AX7" i="21"/>
  <c r="AX15" i="21"/>
  <c r="AW15" i="21"/>
  <c r="AY15" i="21"/>
  <c r="M15" i="21"/>
  <c r="AV15" i="21"/>
  <c r="BD83" i="22" l="1"/>
  <c r="BL91" i="22" s="1"/>
  <c r="BN91" i="22" s="1"/>
  <c r="BO91" i="22" s="1"/>
  <c r="BP91" i="22" s="1"/>
  <c r="N83" i="22"/>
  <c r="N68" i="21"/>
  <c r="Q68" i="21"/>
  <c r="P51" i="21"/>
  <c r="AI78" i="6"/>
  <c r="BM78" i="21"/>
  <c r="P68" i="21"/>
  <c r="O68" i="21"/>
  <c r="N69" i="21"/>
  <c r="O69" i="21"/>
  <c r="Q69" i="21"/>
  <c r="P69" i="21"/>
  <c r="N50" i="21"/>
  <c r="O50" i="21"/>
  <c r="Q50" i="21"/>
  <c r="P50" i="21"/>
  <c r="O51" i="21"/>
  <c r="Q41" i="21"/>
  <c r="F82" i="21"/>
  <c r="BD82" i="21" s="1"/>
  <c r="BL90" i="21" s="1"/>
  <c r="P40" i="21"/>
  <c r="O40" i="21"/>
  <c r="N43" i="21"/>
  <c r="P41" i="21"/>
  <c r="O41" i="21"/>
  <c r="N41" i="21"/>
  <c r="N40" i="21"/>
  <c r="N42" i="21"/>
  <c r="O43" i="21"/>
  <c r="Q42" i="21"/>
  <c r="Q43" i="21"/>
  <c r="P43" i="21"/>
  <c r="P42" i="21"/>
  <c r="N32" i="21"/>
  <c r="F76" i="21"/>
  <c r="BD76" i="21" s="1"/>
  <c r="BL84" i="21" s="1"/>
  <c r="N31" i="21"/>
  <c r="Q31" i="21"/>
  <c r="O31" i="21"/>
  <c r="P31" i="21"/>
  <c r="P33" i="21"/>
  <c r="O34" i="21"/>
  <c r="Q32" i="21"/>
  <c r="P34" i="21"/>
  <c r="P32" i="21"/>
  <c r="Q34" i="21"/>
  <c r="O32" i="21"/>
  <c r="Q33" i="21"/>
  <c r="O33" i="21"/>
  <c r="N23" i="21"/>
  <c r="N22" i="21"/>
  <c r="D76" i="21"/>
  <c r="N76" i="21" s="1"/>
  <c r="Q23" i="21"/>
  <c r="Q24" i="21"/>
  <c r="O22" i="21"/>
  <c r="O23" i="21"/>
  <c r="P22" i="21"/>
  <c r="Q22" i="21"/>
  <c r="N24" i="21"/>
  <c r="P24" i="21"/>
  <c r="O24" i="21"/>
  <c r="BB80" i="21"/>
  <c r="BL80" i="21" s="1"/>
  <c r="N80" i="21"/>
  <c r="BB82" i="21"/>
  <c r="BL82" i="21" s="1"/>
  <c r="Q15" i="21"/>
  <c r="P15" i="21"/>
  <c r="N15" i="21"/>
  <c r="O15" i="21"/>
  <c r="N59" i="21"/>
  <c r="BD83" i="21"/>
  <c r="BL91" i="21" s="1"/>
  <c r="O59" i="21"/>
  <c r="P59" i="21"/>
  <c r="Q59" i="21"/>
  <c r="N4" i="21"/>
  <c r="P4" i="21"/>
  <c r="O4" i="21"/>
  <c r="Q4" i="21"/>
  <c r="BB83" i="21"/>
  <c r="BL83" i="21" s="1"/>
  <c r="P16" i="21"/>
  <c r="O16" i="21"/>
  <c r="Q16" i="21"/>
  <c r="N16" i="21"/>
  <c r="P6" i="21"/>
  <c r="O6" i="21"/>
  <c r="Q6" i="21"/>
  <c r="N6" i="21"/>
  <c r="O58" i="21"/>
  <c r="N58" i="21"/>
  <c r="P58" i="21"/>
  <c r="Q58" i="21"/>
  <c r="P13" i="21"/>
  <c r="O13" i="21"/>
  <c r="Q13" i="21"/>
  <c r="N13" i="21"/>
  <c r="BD77" i="21"/>
  <c r="BL85" i="21" s="1"/>
  <c r="P14" i="21"/>
  <c r="O14" i="21"/>
  <c r="Q14" i="21"/>
  <c r="N14" i="21"/>
  <c r="P7" i="21"/>
  <c r="O7" i="21"/>
  <c r="Q7" i="21"/>
  <c r="N7" i="21"/>
  <c r="BB79" i="21"/>
  <c r="BL79" i="21" s="1"/>
  <c r="N79" i="21"/>
  <c r="P61" i="21"/>
  <c r="O61" i="21"/>
  <c r="Q61" i="21"/>
  <c r="N61" i="21"/>
  <c r="N60" i="21"/>
  <c r="Q60" i="21"/>
  <c r="O60" i="21"/>
  <c r="P60" i="21"/>
  <c r="BD78" i="21"/>
  <c r="BL86" i="21" s="1"/>
  <c r="N5" i="21"/>
  <c r="P5" i="21"/>
  <c r="Q5" i="21"/>
  <c r="O5" i="21"/>
  <c r="BB76" i="21" l="1"/>
  <c r="BL76" i="21" s="1"/>
  <c r="O76" i="21"/>
  <c r="N82" i="21"/>
  <c r="BB81" i="21"/>
  <c r="BL81" i="21" s="1"/>
  <c r="N81" i="21"/>
  <c r="N83" i="21"/>
  <c r="BB77" i="21"/>
  <c r="BL77" i="21" s="1"/>
  <c r="N77" i="21"/>
  <c r="N78" i="21"/>
  <c r="BB78" i="21"/>
  <c r="BL78" i="21" s="1"/>
  <c r="K1" i="6" l="1"/>
  <c r="J103" i="6" l="1"/>
  <c r="F103" i="6"/>
  <c r="D103" i="6"/>
  <c r="J99" i="6"/>
  <c r="J95" i="6"/>
  <c r="F95" i="6"/>
  <c r="D95" i="6"/>
  <c r="J94" i="6"/>
  <c r="F94" i="6"/>
  <c r="D94" i="6"/>
  <c r="J90" i="6"/>
  <c r="F90" i="6"/>
  <c r="D90" i="6"/>
  <c r="J89" i="6"/>
  <c r="F89" i="6"/>
  <c r="D89" i="6"/>
  <c r="J88" i="6"/>
  <c r="F88" i="6"/>
  <c r="D88" i="6"/>
  <c r="J87" i="6"/>
  <c r="F87" i="6"/>
  <c r="D87" i="6"/>
  <c r="J83" i="6"/>
  <c r="J82" i="6"/>
  <c r="J81" i="6"/>
  <c r="J80" i="6"/>
  <c r="J79" i="6"/>
  <c r="J78" i="6"/>
  <c r="J77" i="6"/>
  <c r="J76" i="6"/>
  <c r="J72" i="6"/>
  <c r="K72" i="21" s="1"/>
  <c r="J71" i="6"/>
  <c r="K71" i="21" s="1"/>
  <c r="J70" i="6"/>
  <c r="K70" i="21" s="1"/>
  <c r="J69" i="6"/>
  <c r="K69" i="21" s="1"/>
  <c r="J68" i="6"/>
  <c r="K68" i="21" s="1"/>
  <c r="J67" i="6"/>
  <c r="K67" i="21" s="1"/>
  <c r="J63" i="6"/>
  <c r="K63" i="21" s="1"/>
  <c r="J62" i="6"/>
  <c r="K62" i="21" s="1"/>
  <c r="J61" i="6"/>
  <c r="K61" i="21" s="1"/>
  <c r="J60" i="6"/>
  <c r="K60" i="21" s="1"/>
  <c r="J59" i="6"/>
  <c r="K59" i="21" s="1"/>
  <c r="J58" i="6"/>
  <c r="K58" i="21" s="1"/>
  <c r="J54" i="6"/>
  <c r="K54" i="21" s="1"/>
  <c r="J53" i="6"/>
  <c r="K53" i="21" s="1"/>
  <c r="J52" i="6"/>
  <c r="K52" i="21" s="1"/>
  <c r="J51" i="6"/>
  <c r="K51" i="21" s="1"/>
  <c r="J50" i="6"/>
  <c r="K50" i="21" s="1"/>
  <c r="J49" i="6"/>
  <c r="K49" i="21" s="1"/>
  <c r="J45" i="6"/>
  <c r="K45" i="21" s="1"/>
  <c r="J44" i="6"/>
  <c r="K44" i="21" s="1"/>
  <c r="J43" i="6"/>
  <c r="K43" i="21" s="1"/>
  <c r="J42" i="6"/>
  <c r="K42" i="21" s="1"/>
  <c r="J41" i="6"/>
  <c r="K41" i="21" s="1"/>
  <c r="J40" i="6"/>
  <c r="K40" i="21" s="1"/>
  <c r="J36" i="6"/>
  <c r="K36" i="21" s="1"/>
  <c r="J35" i="6"/>
  <c r="K35" i="21" s="1"/>
  <c r="J34" i="6"/>
  <c r="K34" i="21" s="1"/>
  <c r="J33" i="6"/>
  <c r="K33" i="21" s="1"/>
  <c r="J32" i="6"/>
  <c r="K32" i="21" s="1"/>
  <c r="J31" i="6"/>
  <c r="K31" i="21" s="1"/>
  <c r="J27" i="6"/>
  <c r="K27" i="21" s="1"/>
  <c r="J26" i="6"/>
  <c r="K26" i="21" s="1"/>
  <c r="J25" i="6"/>
  <c r="K25" i="21" s="1"/>
  <c r="J24" i="6"/>
  <c r="K24" i="21" s="1"/>
  <c r="J23" i="6"/>
  <c r="K23" i="21" s="1"/>
  <c r="J22" i="6"/>
  <c r="K22" i="21" s="1"/>
  <c r="J18" i="6"/>
  <c r="K18" i="21" s="1"/>
  <c r="J17" i="6"/>
  <c r="K17" i="21" s="1"/>
  <c r="J16" i="6"/>
  <c r="K16" i="21" s="1"/>
  <c r="J15" i="6"/>
  <c r="K15" i="21" s="1"/>
  <c r="J14" i="6"/>
  <c r="K14" i="21" s="1"/>
  <c r="J13" i="6"/>
  <c r="K13" i="21" s="1"/>
  <c r="J9" i="6"/>
  <c r="K9" i="21" s="1"/>
  <c r="J8" i="6"/>
  <c r="K8" i="21" s="1"/>
  <c r="J7" i="6"/>
  <c r="K7" i="21" s="1"/>
  <c r="J6" i="6"/>
  <c r="K6" i="21" s="1"/>
  <c r="J5" i="6"/>
  <c r="K5" i="21" s="1"/>
  <c r="J4" i="6"/>
  <c r="K4" i="21" l="1"/>
  <c r="T13" i="21" s="1"/>
  <c r="V13" i="21" s="1"/>
  <c r="BP92" i="22"/>
  <c r="P76" i="22" s="1"/>
  <c r="U14" i="22" s="1"/>
  <c r="V14" i="22" s="1"/>
  <c r="V20" i="22" s="1"/>
  <c r="K99" i="21"/>
  <c r="T17" i="21" s="1"/>
  <c r="BM119" i="21"/>
  <c r="BM118" i="21"/>
  <c r="BN119" i="21" s="1"/>
  <c r="BO119" i="21" s="1"/>
  <c r="BP119" i="21" s="1"/>
  <c r="BM109" i="21"/>
  <c r="BM107" i="21"/>
  <c r="BM108" i="21"/>
  <c r="BN108" i="21" s="1"/>
  <c r="BM106" i="21"/>
  <c r="BM102" i="21"/>
  <c r="BM98" i="21"/>
  <c r="BM100" i="21"/>
  <c r="BM96" i="21"/>
  <c r="BM101" i="21"/>
  <c r="BM97" i="21"/>
  <c r="BM95" i="21"/>
  <c r="BM99" i="21"/>
  <c r="K95" i="21"/>
  <c r="K94" i="21"/>
  <c r="K90" i="21"/>
  <c r="K89" i="21"/>
  <c r="K88" i="21"/>
  <c r="K87" i="21"/>
  <c r="K83" i="21"/>
  <c r="K82" i="21"/>
  <c r="K79" i="21"/>
  <c r="K78" i="21"/>
  <c r="K81" i="21"/>
  <c r="K80" i="21"/>
  <c r="K76" i="21"/>
  <c r="K77" i="21"/>
  <c r="K103" i="21"/>
  <c r="T18" i="21" s="1"/>
  <c r="BH83" i="21"/>
  <c r="BI83" i="21" s="1"/>
  <c r="BH77" i="21"/>
  <c r="BI77" i="21" s="1"/>
  <c r="BH95" i="21"/>
  <c r="BI95" i="21" s="1"/>
  <c r="BH94" i="21"/>
  <c r="BI94" i="21" s="1"/>
  <c r="BH78" i="21"/>
  <c r="BI78" i="21" s="1"/>
  <c r="BH87" i="21"/>
  <c r="BI87" i="21" s="1"/>
  <c r="BH99" i="21"/>
  <c r="BI99" i="21" s="1"/>
  <c r="BH79" i="21"/>
  <c r="BI79" i="21" s="1"/>
  <c r="BH90" i="21"/>
  <c r="BI90" i="21" s="1"/>
  <c r="BH82" i="21"/>
  <c r="BI82" i="21" s="1"/>
  <c r="BH89" i="21"/>
  <c r="BI89" i="21" s="1"/>
  <c r="BH80" i="21"/>
  <c r="BI80" i="21" s="1"/>
  <c r="BH76" i="21"/>
  <c r="BI76" i="21" s="1"/>
  <c r="BH81" i="21"/>
  <c r="BI81" i="21" s="1"/>
  <c r="BH88" i="21"/>
  <c r="BI88" i="21" s="1"/>
  <c r="BH103" i="21"/>
  <c r="BI103" i="21" s="1"/>
  <c r="O95" i="6"/>
  <c r="F99" i="6" s="1"/>
  <c r="O94" i="6"/>
  <c r="D99" i="6" s="1"/>
  <c r="BN98" i="21" l="1"/>
  <c r="BO98" i="21" s="1"/>
  <c r="BP98" i="21" s="1"/>
  <c r="BN118" i="21"/>
  <c r="BO118" i="21" s="1"/>
  <c r="BP118" i="21" s="1"/>
  <c r="BP120" i="21" s="1"/>
  <c r="P103" i="21" s="1"/>
  <c r="U18" i="21" s="1"/>
  <c r="V18" i="21" s="1"/>
  <c r="BN107" i="21"/>
  <c r="BO107" i="21" s="1"/>
  <c r="BP107" i="21" s="1"/>
  <c r="BM114" i="21"/>
  <c r="BN106" i="21"/>
  <c r="BO106" i="21" s="1"/>
  <c r="BP106" i="21" s="1"/>
  <c r="BN109" i="21"/>
  <c r="BO109" i="21" s="1"/>
  <c r="BP109" i="21" s="1"/>
  <c r="BM113" i="21"/>
  <c r="BN96" i="21"/>
  <c r="BO96" i="21" s="1"/>
  <c r="BP96" i="21" s="1"/>
  <c r="BN95" i="21"/>
  <c r="BO95" i="21" s="1"/>
  <c r="BP95" i="21" s="1"/>
  <c r="BN97" i="21"/>
  <c r="BO97" i="21" s="1"/>
  <c r="BP97" i="21" s="1"/>
  <c r="BN101" i="21"/>
  <c r="BO101" i="21" s="1"/>
  <c r="BP101" i="21" s="1"/>
  <c r="BN102" i="21"/>
  <c r="BO102" i="21" s="1"/>
  <c r="BP102" i="21" s="1"/>
  <c r="BN100" i="21"/>
  <c r="BO100" i="21" s="1"/>
  <c r="BP100" i="21" s="1"/>
  <c r="BN99" i="21"/>
  <c r="BO99" i="21" s="1"/>
  <c r="BP99" i="21" s="1"/>
  <c r="T16" i="21"/>
  <c r="T15" i="21"/>
  <c r="BO108" i="21"/>
  <c r="BP108" i="21" s="1"/>
  <c r="T14" i="21"/>
  <c r="L16" i="6"/>
  <c r="L6" i="6"/>
  <c r="L25" i="6"/>
  <c r="BN114" i="21" l="1"/>
  <c r="BO114" i="21" s="1"/>
  <c r="BP114" i="21" s="1"/>
  <c r="BN113" i="21"/>
  <c r="BO113" i="21" s="1"/>
  <c r="BP113" i="21" s="1"/>
  <c r="BP110" i="21"/>
  <c r="P94" i="21" s="1"/>
  <c r="U16" i="21" s="1"/>
  <c r="V16" i="21" s="1"/>
  <c r="BP103" i="21"/>
  <c r="P87" i="21" s="1"/>
  <c r="U15" i="21" s="1"/>
  <c r="V15" i="21" s="1"/>
  <c r="M16" i="6"/>
  <c r="P49" i="6"/>
  <c r="M49" i="6"/>
  <c r="L15" i="6"/>
  <c r="O16" i="6"/>
  <c r="N16" i="6"/>
  <c r="L14" i="6"/>
  <c r="L51" i="6"/>
  <c r="O51" i="6" s="1"/>
  <c r="N49" i="6"/>
  <c r="O49" i="6"/>
  <c r="L50" i="6"/>
  <c r="L52" i="6"/>
  <c r="P52" i="6" s="1"/>
  <c r="L31" i="6"/>
  <c r="BM79" i="21" s="1"/>
  <c r="L58" i="6"/>
  <c r="L69" i="6"/>
  <c r="M69" i="6" s="1"/>
  <c r="L61" i="6"/>
  <c r="L68" i="6"/>
  <c r="L70" i="6"/>
  <c r="L59" i="6"/>
  <c r="L60" i="6"/>
  <c r="L43" i="6"/>
  <c r="L40" i="6"/>
  <c r="L41" i="6"/>
  <c r="L42" i="6"/>
  <c r="L32" i="6"/>
  <c r="L34" i="6"/>
  <c r="L33" i="6"/>
  <c r="L7" i="6"/>
  <c r="M6" i="6"/>
  <c r="P6" i="6"/>
  <c r="L5" i="6"/>
  <c r="O6" i="6"/>
  <c r="N6" i="6"/>
  <c r="L4" i="6"/>
  <c r="L23" i="6"/>
  <c r="L22" i="6"/>
  <c r="AK81" i="6" l="1"/>
  <c r="BM89" i="21"/>
  <c r="AK83" i="6"/>
  <c r="BM91" i="21"/>
  <c r="AI81" i="6"/>
  <c r="BM81" i="21"/>
  <c r="AK80" i="6"/>
  <c r="BM88" i="21"/>
  <c r="AK82" i="6"/>
  <c r="BM90" i="21"/>
  <c r="AI80" i="6"/>
  <c r="BM80" i="21"/>
  <c r="AK76" i="6"/>
  <c r="BM84" i="21"/>
  <c r="AI76" i="6"/>
  <c r="BM76" i="21"/>
  <c r="AK79" i="6"/>
  <c r="BM87" i="21"/>
  <c r="AK77" i="6"/>
  <c r="BM85" i="21"/>
  <c r="O4" i="6"/>
  <c r="BP115" i="21"/>
  <c r="P99" i="21" s="1"/>
  <c r="U17" i="21" s="1"/>
  <c r="V17" i="21" s="1"/>
  <c r="O31" i="6"/>
  <c r="AI79" i="6"/>
  <c r="BM77" i="21"/>
  <c r="AI77" i="6"/>
  <c r="BM86" i="21"/>
  <c r="AK78" i="6"/>
  <c r="P16" i="6"/>
  <c r="P15" i="6"/>
  <c r="P61" i="6"/>
  <c r="O5" i="6"/>
  <c r="M32" i="6"/>
  <c r="N13" i="6"/>
  <c r="M41" i="6"/>
  <c r="M58" i="6"/>
  <c r="N43" i="6"/>
  <c r="O15" i="6"/>
  <c r="N50" i="6"/>
  <c r="M15" i="6"/>
  <c r="N51" i="6"/>
  <c r="P51" i="6"/>
  <c r="M51" i="6"/>
  <c r="M31" i="6"/>
  <c r="N15" i="6"/>
  <c r="M14" i="6"/>
  <c r="P14" i="6"/>
  <c r="O14" i="6"/>
  <c r="P13" i="6"/>
  <c r="M13" i="6"/>
  <c r="N14" i="6"/>
  <c r="O13" i="6"/>
  <c r="N31" i="6"/>
  <c r="P31" i="6"/>
  <c r="M52" i="6"/>
  <c r="O50" i="6"/>
  <c r="P50" i="6"/>
  <c r="M50" i="6"/>
  <c r="O52" i="6"/>
  <c r="P67" i="6"/>
  <c r="N52" i="6"/>
  <c r="P58" i="6"/>
  <c r="N67" i="6"/>
  <c r="O67" i="6"/>
  <c r="M67" i="6"/>
  <c r="N58" i="6"/>
  <c r="O58" i="6"/>
  <c r="M4" i="6"/>
  <c r="P43" i="6"/>
  <c r="O43" i="6"/>
  <c r="M43" i="6"/>
  <c r="N61" i="6"/>
  <c r="M61" i="6"/>
  <c r="P68" i="6"/>
  <c r="P69" i="6"/>
  <c r="N69" i="6"/>
  <c r="O69" i="6"/>
  <c r="O61" i="6"/>
  <c r="O68" i="6"/>
  <c r="N70" i="6"/>
  <c r="M59" i="6"/>
  <c r="O60" i="6"/>
  <c r="N59" i="6"/>
  <c r="P70" i="6"/>
  <c r="N68" i="6"/>
  <c r="M68" i="6"/>
  <c r="M70" i="6"/>
  <c r="O70" i="6"/>
  <c r="P60" i="6"/>
  <c r="P59" i="6"/>
  <c r="N60" i="6"/>
  <c r="M60" i="6"/>
  <c r="O59" i="6"/>
  <c r="O42" i="6"/>
  <c r="N41" i="6"/>
  <c r="P41" i="6"/>
  <c r="O41" i="6"/>
  <c r="P42" i="6"/>
  <c r="M42" i="6"/>
  <c r="N42" i="6"/>
  <c r="P40" i="6"/>
  <c r="O40" i="6"/>
  <c r="M40" i="6"/>
  <c r="N40" i="6"/>
  <c r="N32" i="6"/>
  <c r="M33" i="6"/>
  <c r="O32" i="6"/>
  <c r="P32" i="6"/>
  <c r="P34" i="6"/>
  <c r="O34" i="6"/>
  <c r="N34" i="6"/>
  <c r="M34" i="6"/>
  <c r="O33" i="6"/>
  <c r="P33" i="6"/>
  <c r="N33" i="6"/>
  <c r="N7" i="6"/>
  <c r="M7" i="6"/>
  <c r="O7" i="6"/>
  <c r="N5" i="6"/>
  <c r="P7" i="6"/>
  <c r="M5" i="6"/>
  <c r="P5" i="6"/>
  <c r="N4" i="6"/>
  <c r="P4" i="6"/>
  <c r="N24" i="6"/>
  <c r="P24" i="6"/>
  <c r="M24" i="6"/>
  <c r="O24" i="6"/>
  <c r="O23" i="6"/>
  <c r="M23" i="6"/>
  <c r="N23" i="6"/>
  <c r="P23" i="6"/>
  <c r="O25" i="6"/>
  <c r="P25" i="6"/>
  <c r="N25" i="6"/>
  <c r="M25" i="6"/>
  <c r="M22" i="6"/>
  <c r="P22" i="6"/>
  <c r="O22" i="6"/>
  <c r="N22" i="6"/>
  <c r="BN76" i="21" l="1"/>
  <c r="BO76" i="21" s="1"/>
  <c r="BP76" i="21" s="1"/>
  <c r="BN89" i="21"/>
  <c r="BO89" i="21" s="1"/>
  <c r="BP89" i="21" s="1"/>
  <c r="BN87" i="21"/>
  <c r="BO87" i="21" s="1"/>
  <c r="BP87" i="21" s="1"/>
  <c r="BN84" i="21"/>
  <c r="BO84" i="21" s="1"/>
  <c r="BP84" i="21" s="1"/>
  <c r="BN88" i="21"/>
  <c r="BO88" i="21" s="1"/>
  <c r="BP88" i="21" s="1"/>
  <c r="BN90" i="21"/>
  <c r="BO90" i="21" s="1"/>
  <c r="BP90" i="21" s="1"/>
  <c r="BN86" i="21"/>
  <c r="BO86" i="21" s="1"/>
  <c r="BP86" i="21" s="1"/>
  <c r="BN79" i="21"/>
  <c r="BO79" i="21" s="1"/>
  <c r="BP79" i="21" s="1"/>
  <c r="BN80" i="21"/>
  <c r="BO80" i="21" s="1"/>
  <c r="BP80" i="21" s="1"/>
  <c r="BN83" i="21"/>
  <c r="BO83" i="21" s="1"/>
  <c r="BP83" i="21" s="1"/>
  <c r="BN82" i="21"/>
  <c r="BO82" i="21" s="1"/>
  <c r="BP82" i="21" s="1"/>
  <c r="BN85" i="21"/>
  <c r="BO85" i="21" s="1"/>
  <c r="BP85" i="21" s="1"/>
  <c r="BN91" i="21"/>
  <c r="BN77" i="21"/>
  <c r="BO77" i="21" s="1"/>
  <c r="BP77" i="21" s="1"/>
  <c r="BN78" i="21"/>
  <c r="BO78" i="21" s="1"/>
  <c r="BP78" i="21" s="1"/>
  <c r="BN81" i="21"/>
  <c r="BO81" i="21" s="1"/>
  <c r="BP81" i="21" s="1"/>
  <c r="BO91" i="21" l="1"/>
  <c r="BP91" i="21" s="1"/>
  <c r="BP92" i="21" s="1"/>
  <c r="P76" i="21" s="1"/>
  <c r="U14" i="21" s="1"/>
  <c r="V14" i="21" s="1"/>
  <c r="V20" i="21" s="1"/>
</calcChain>
</file>

<file path=xl/sharedStrings.xml><?xml version="1.0" encoding="utf-8"?>
<sst xmlns="http://schemas.openxmlformats.org/spreadsheetml/2006/main" count="2242" uniqueCount="208">
  <si>
    <t>Grupp A</t>
  </si>
  <si>
    <t>Åttondelsfinaler</t>
  </si>
  <si>
    <t>Match</t>
  </si>
  <si>
    <t>Datum</t>
  </si>
  <si>
    <t>Resultat</t>
  </si>
  <si>
    <t>Brasilien</t>
  </si>
  <si>
    <t>-</t>
  </si>
  <si>
    <t>Kroatien</t>
  </si>
  <si>
    <t>Vinnare grupp A</t>
  </si>
  <si>
    <t>Tvåa grupp B</t>
  </si>
  <si>
    <t>Mexiko</t>
  </si>
  <si>
    <t>Kamerun</t>
  </si>
  <si>
    <t>Vinnare grupp C</t>
  </si>
  <si>
    <t>Tvåa grupp D</t>
  </si>
  <si>
    <t>Vinnare grupp B</t>
  </si>
  <si>
    <t>Tvåa grupp A</t>
  </si>
  <si>
    <t>Vinnare grupp D</t>
  </si>
  <si>
    <t>Tvåa grupp C</t>
  </si>
  <si>
    <t>Vinnare grupp E</t>
  </si>
  <si>
    <t>Tvåa grupp F</t>
  </si>
  <si>
    <t>Vinnare grupp G</t>
  </si>
  <si>
    <t>Tvåa grupp H</t>
  </si>
  <si>
    <t>Vinnare grupp F</t>
  </si>
  <si>
    <t>Tvåa grupp E</t>
  </si>
  <si>
    <t>Grupp B</t>
  </si>
  <si>
    <t>Vinnare grupp H</t>
  </si>
  <si>
    <t>Tvåa grupp G</t>
  </si>
  <si>
    <t>Spanien</t>
  </si>
  <si>
    <t>Kvartsfinaler</t>
  </si>
  <si>
    <t>Australien</t>
  </si>
  <si>
    <t>Vinnare match 49</t>
  </si>
  <si>
    <t>Vinnare match 50</t>
  </si>
  <si>
    <t>Vinnare match 53</t>
  </si>
  <si>
    <t>Vinnare match 54</t>
  </si>
  <si>
    <t>Vinnare match 51</t>
  </si>
  <si>
    <t>Vinnare match 52</t>
  </si>
  <si>
    <t>Vinnare match 55</t>
  </si>
  <si>
    <t>Vinnare match 56</t>
  </si>
  <si>
    <t>Grupp C</t>
  </si>
  <si>
    <t>Semifinaler</t>
  </si>
  <si>
    <t>Vinnare match 57</t>
  </si>
  <si>
    <t>Vinnare match 58</t>
  </si>
  <si>
    <t>Japan</t>
  </si>
  <si>
    <t>Vinnare match 59</t>
  </si>
  <si>
    <t>Vinnare match 60</t>
  </si>
  <si>
    <t>Bronsmatch</t>
  </si>
  <si>
    <t>Förlorare match 61</t>
  </si>
  <si>
    <t>Förlorare match 62</t>
  </si>
  <si>
    <t>Grupp D</t>
  </si>
  <si>
    <t>Final</t>
  </si>
  <si>
    <t>Uruguay</t>
  </si>
  <si>
    <t>Costa Rica</t>
  </si>
  <si>
    <t>Vinnare match 61</t>
  </si>
  <si>
    <t>Vinnare match 62</t>
  </si>
  <si>
    <t>England</t>
  </si>
  <si>
    <t>Grupp E</t>
  </si>
  <si>
    <t>Schweiz</t>
  </si>
  <si>
    <t>Ecuador</t>
  </si>
  <si>
    <t>Frankrike</t>
  </si>
  <si>
    <t>Grupp F</t>
  </si>
  <si>
    <t>Argentina</t>
  </si>
  <si>
    <t>Iran</t>
  </si>
  <si>
    <t>Grupp G</t>
  </si>
  <si>
    <t>Tyskland</t>
  </si>
  <si>
    <t>Portugal</t>
  </si>
  <si>
    <t>Ghana</t>
  </si>
  <si>
    <t>USA</t>
  </si>
  <si>
    <t>Grupp H</t>
  </si>
  <si>
    <t>Belgien</t>
  </si>
  <si>
    <t>Tecken</t>
  </si>
  <si>
    <t>Bonusfrågor</t>
  </si>
  <si>
    <t>Kategori</t>
  </si>
  <si>
    <t>Skyttekung</t>
  </si>
  <si>
    <t>Lag 1</t>
  </si>
  <si>
    <t>Lag 2</t>
  </si>
  <si>
    <t>Poäng</t>
  </si>
  <si>
    <t>GM</t>
  </si>
  <si>
    <t>IM</t>
  </si>
  <si>
    <t>Lag</t>
  </si>
  <si>
    <t>Diff</t>
  </si>
  <si>
    <t>Rank</t>
  </si>
  <si>
    <t>Rank Poäng</t>
  </si>
  <si>
    <t>Rank Diff</t>
  </si>
  <si>
    <t>Rank mål</t>
  </si>
  <si>
    <t>Rank total</t>
  </si>
  <si>
    <t>Rank ties</t>
  </si>
  <si>
    <t>Förlorare</t>
  </si>
  <si>
    <t xml:space="preserve"> +/-</t>
  </si>
  <si>
    <t>Bonus</t>
  </si>
  <si>
    <t>Resultat &amp; tabell</t>
  </si>
  <si>
    <t>Mitt tips</t>
  </si>
  <si>
    <t>Utfall</t>
  </si>
  <si>
    <t>Utfall likare</t>
  </si>
  <si>
    <t>SUMMA</t>
  </si>
  <si>
    <t>Gruppspel</t>
  </si>
  <si>
    <t>Totalpoäng</t>
  </si>
  <si>
    <t>Summa</t>
  </si>
  <si>
    <t>Totalt</t>
  </si>
  <si>
    <t>Namn</t>
  </si>
  <si>
    <t>Placering</t>
  </si>
  <si>
    <t>Poängräkning</t>
  </si>
  <si>
    <t>Rätt antal mål per lag</t>
  </si>
  <si>
    <t>2 poäng</t>
  </si>
  <si>
    <t>Rätt tecken (1X2)</t>
  </si>
  <si>
    <t>Samtliga matcher</t>
  </si>
  <si>
    <t>Rätt lag i kvartsfinal</t>
  </si>
  <si>
    <t>Rätt lag i semifinal</t>
  </si>
  <si>
    <t>Rätt lag i final</t>
  </si>
  <si>
    <t>Världsmästare</t>
  </si>
  <si>
    <t>Vinnare semifinal</t>
  </si>
  <si>
    <t>Vinnare kvartsfinal</t>
  </si>
  <si>
    <t>Vinnare åttondelsfinal</t>
  </si>
  <si>
    <t>Rätt lag i åttondelsfinal</t>
  </si>
  <si>
    <t>Land eller spelare</t>
  </si>
  <si>
    <t>2 poäng per lag</t>
  </si>
  <si>
    <t>4 poäng per lag</t>
  </si>
  <si>
    <t>6 poäng per lag</t>
  </si>
  <si>
    <t>8 poäng per lag</t>
  </si>
  <si>
    <t>Åttondelsfinal</t>
  </si>
  <si>
    <t>Semifinal</t>
  </si>
  <si>
    <t>20 poäng</t>
  </si>
  <si>
    <t>Addera tippare i tabellen</t>
  </si>
  <si>
    <t>Välj den flik med spelarens namn, klicka en gång i cell V20 och tryck Enter</t>
  </si>
  <si>
    <t>Rättning</t>
  </si>
  <si>
    <t>Instruktioner</t>
  </si>
  <si>
    <t>Högerklicka på den nya fliken, välj "rename"och skriv in tipparens namn</t>
  </si>
  <si>
    <t>Siffran 0 dyker nu upp i cellen bredvid spelarens namn</t>
  </si>
  <si>
    <t>Poäng för lag i åttondelsfinal</t>
  </si>
  <si>
    <t>Poäng för lag i kvartsfinal</t>
  </si>
  <si>
    <t>Poäng för lag i semifinal</t>
  </si>
  <si>
    <t>Poäng för lag i bronsmatch</t>
  </si>
  <si>
    <t>Poäng för lag i final</t>
  </si>
  <si>
    <t>Det finstilta</t>
  </si>
  <si>
    <t xml:space="preserve">Du måste fylla i varje deltagares tips under en separat flik i denna filen. </t>
  </si>
  <si>
    <t xml:space="preserve">Detta eftersom det finns formler kopplade i alla flikar, vilka styrs från "Resultat &amp; tabell". </t>
  </si>
  <si>
    <t>Tyvärr lite manuellt arbete, men det går relativt snabbt och behövs enbart göras i</t>
  </si>
  <si>
    <t>Rätt lag i bronsmatch</t>
  </si>
  <si>
    <t>Välj fliken "Resultat &amp; tabell" och skriv in tipparens namn i kolumnen "Namn" i tabellen</t>
  </si>
  <si>
    <t>Tryck sedan i motsvarande cell i kolumn "Poäng" (exempelvis cell BR5) och skriv =</t>
  </si>
  <si>
    <t>innan tipstävlingen drar igång</t>
  </si>
  <si>
    <t>Bra att veta!</t>
  </si>
  <si>
    <t xml:space="preserve">Tänk även på att bestämma i förväg om slutresultatet är efter 90 minuter, ev förlängning eller straffar </t>
  </si>
  <si>
    <t>Sortera sedan tabellen i fallande ordning i cellen "Poäng" under "Resultat &amp; tabell" och voila!</t>
  </si>
  <si>
    <t>Vinnare bronsmatch</t>
  </si>
  <si>
    <t>Vinnare final</t>
  </si>
  <si>
    <t>10 poäng</t>
  </si>
  <si>
    <t>Marocko</t>
  </si>
  <si>
    <t>Danmark</t>
  </si>
  <si>
    <t>Serbien</t>
  </si>
  <si>
    <t>Tunisien</t>
  </si>
  <si>
    <t>Polen</t>
  </si>
  <si>
    <t>Senegal</t>
  </si>
  <si>
    <t>50 poäng</t>
  </si>
  <si>
    <t xml:space="preserve">I åttondelsfinalerna och framåt  är det möjligt att tippa ett annat lag vidare än vad resultatet visar. </t>
  </si>
  <si>
    <t xml:space="preserve">Tex om Sverige möter Brasilien och du tippar resultatet 1-2 kan du ändå ange Sverige som vinnare. </t>
  </si>
  <si>
    <t>(20+20+10)</t>
  </si>
  <si>
    <t>Fyll i de gula cellerna så uppdateras respektive spelares flik med poäng</t>
  </si>
  <si>
    <t>Bonuspoäng</t>
  </si>
  <si>
    <t xml:space="preserve">Det är helt upp till Dig som tipsgeneral att välja om Du vill godkänna detta eller inte. </t>
  </si>
  <si>
    <t>Nederländerna</t>
  </si>
  <si>
    <t>Wales</t>
  </si>
  <si>
    <t>Kanada</t>
  </si>
  <si>
    <t>Korea</t>
  </si>
  <si>
    <t>Notera!</t>
  </si>
  <si>
    <t>(48+32)</t>
  </si>
  <si>
    <t>(24+32)</t>
  </si>
  <si>
    <t>(12+24)</t>
  </si>
  <si>
    <t>(6+16)</t>
  </si>
  <si>
    <t>80 poäng</t>
  </si>
  <si>
    <t>36 poäng</t>
  </si>
  <si>
    <t>22 poäng</t>
  </si>
  <si>
    <t>Frequently Asked Questions (FAQ)</t>
  </si>
  <si>
    <t>Svar: Behåll alltid originalfliken "Mitt tips" och döp inte om den. Döps fliken om eller</t>
  </si>
  <si>
    <t>2. Kan jag få lösenordet till filen?</t>
  </si>
  <si>
    <t>Svar: Vi ger inte ut lösenordet. Vårt bidrag är att vi publicerar tipset för er gratis</t>
  </si>
  <si>
    <t>3. Finns tipset på engelska?</t>
  </si>
  <si>
    <t>4. När jag får tillbaka tipsen från mina kompisar, kan jag kopiera eller flytta fliken "Mitt tips" från</t>
  </si>
  <si>
    <t xml:space="preserve">min kompisars fil till min? </t>
  </si>
  <si>
    <t>Svar: Nej, det kan du inte, då fungerar inte länkningen till "Resultat &amp; Tabell"</t>
  </si>
  <si>
    <t>5. Jag och mina kompisar vill först tippa gruppspelet, sen åttondelsfinaler, kvartsfinaler, semifinaler och final</t>
  </si>
  <si>
    <t>Svar: Ja, det går utmärkt att göra det. Det finns ingen begränsning för hur ni vill lägga upp tipset</t>
  </si>
  <si>
    <t>Tips för enklare kopiering av tips!</t>
  </si>
  <si>
    <t>Markera alla resultat samtidigt och kopiera (cell G1:J103) och klistra in i motsvarande celler</t>
  </si>
  <si>
    <t>Du måste skriva in deras tips manuellt, se tips för enklare kopiering</t>
  </si>
  <si>
    <t>6. Kan man ändra poängräkningen?</t>
  </si>
  <si>
    <t>garantera att det kommer erbjudas/uppdateras. Vårt bidrag är att vi publicerar tipset för er gratis</t>
  </si>
  <si>
    <t>56 poäng</t>
  </si>
  <si>
    <t xml:space="preserve">Gör man så visas "EJ OK" vid den matchen som indikerar att resultat och vinnare inte stämmer. </t>
  </si>
  <si>
    <t>Notera att namn på Skyttekung måste vara stavat/skrivet likadant i Resultat &amp; tabell som hos tipsaren för att ge poäng.</t>
  </si>
  <si>
    <t>tas bort fungerar inte makrot/kopieringen ordentligt. Fliken måste heta "Mitt tips"</t>
  </si>
  <si>
    <t>Prediktion</t>
  </si>
  <si>
    <t>separat, efterhand som matcherna spelats i respektive del, går det?</t>
  </si>
  <si>
    <t>Dock följer bonuspoängen för rätt lag vidare med i poängräkningen</t>
  </si>
  <si>
    <t xml:space="preserve">Bonuspoäng delas ut när alla gruppspelsmatcher är spelade. Samma gäller åttondelsfinal, kvartsfinal etc. </t>
  </si>
  <si>
    <t>Svar: Nej, detta är den poängräkning som erbjuds. Givetvis kan man önska annan poängräkning men vi kan inte</t>
  </si>
  <si>
    <t>Saudiarabien</t>
  </si>
  <si>
    <r>
      <t xml:space="preserve">Tipset kan ej ta hänsyn till antal gula/röda kort i turneringen, vilket kan påverka vilka lag som går vidare till åttondelsfinal. Skulle detta ske kan du som rättar manuellt skriva i rätt lag på rätt plats i åttondelsfinalerna (cell D58-D65 &amp; F58-F65)
För att återställa, klicka på </t>
    </r>
    <r>
      <rPr>
        <sz val="11"/>
        <rFont val="Calibri"/>
        <family val="2"/>
        <scheme val="minor"/>
      </rPr>
      <t>orangea knappen</t>
    </r>
    <r>
      <rPr>
        <sz val="11"/>
        <color theme="1"/>
        <rFont val="Calibri"/>
        <family val="2"/>
        <scheme val="minor"/>
      </rPr>
      <t xml:space="preserve"> till höger</t>
    </r>
  </si>
  <si>
    <t>Lägg till tips</t>
  </si>
  <si>
    <t>Du kan lägga till så många spelare du önskar</t>
  </si>
  <si>
    <t>1. När jag klickar på START för att lägga till ett tips får jag felmeddelande</t>
  </si>
  <si>
    <t>Qatar</t>
  </si>
  <si>
    <t>Svar: Ja</t>
  </si>
  <si>
    <t>3 poäng</t>
  </si>
  <si>
    <t>602 poäng</t>
  </si>
  <si>
    <t>336 poäng</t>
  </si>
  <si>
    <t>Tipset skapat av fotbollsvmem.se</t>
  </si>
  <si>
    <t>7 poäng kan delas ut i samtliga matcher</t>
  </si>
  <si>
    <t>Samuel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</si>
</sst>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dd/mmm;@"/>
  </numFmts>
  <fonts count="20" x14ac:knownFonts="1">
    <font>
      <sz val="11"/>
      <color theme="1"/>
      <name val="Calibri"/>
      <family val="2"/>
      <scheme val="minor"/>
    </font>
    <font>
      <b/>
      <sz val="10"/>
      <color rgb="FF0A0A0A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333333"/>
      <name val="Trebuchet MS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3.75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AFD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theme="3" tint="0.79998168889431442"/>
      </left>
      <right/>
      <top/>
      <bottom/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 style="thin">
        <color theme="3" tint="0.79998168889431442"/>
      </left>
      <right style="thin">
        <color theme="3" tint="0.59999389629810485"/>
      </right>
      <top style="thin">
        <color theme="3" tint="0.59999389629810485"/>
      </top>
      <bottom/>
      <diagonal/>
    </border>
    <border>
      <left/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/>
      <bottom/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/>
      <right style="thin">
        <color theme="3" tint="0.79998168889431442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79998168889431442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79998168889431442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79998168889431442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231">
    <xf numFmtId="0" fontId="0" fillId="0" borderId="0" xfId="0"/>
    <xf numFmtId="0" fontId="7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 wrapText="1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3" borderId="10" xfId="0" applyFont="1" applyFill="1" applyBorder="1" applyAlignment="1" applyProtection="1">
      <alignment horizontal="center" vertical="center"/>
      <protection hidden="1"/>
    </xf>
    <xf numFmtId="0" fontId="2" fillId="3" borderId="13" xfId="0" applyFont="1" applyFill="1" applyBorder="1" applyAlignment="1" applyProtection="1">
      <alignment horizontal="center" vertical="center"/>
      <protection hidden="1"/>
    </xf>
    <xf numFmtId="0" fontId="2" fillId="3" borderId="11" xfId="0" applyFont="1" applyFill="1" applyBorder="1" applyAlignment="1" applyProtection="1">
      <alignment horizontal="left" vertical="center"/>
      <protection hidden="1"/>
    </xf>
    <xf numFmtId="0" fontId="4" fillId="2" borderId="0" xfId="0" applyNumberFormat="1" applyFont="1" applyFill="1" applyAlignment="1" applyProtection="1">
      <alignment vertical="center"/>
      <protection hidden="1"/>
    </xf>
    <xf numFmtId="0" fontId="2" fillId="2" borderId="11" xfId="0" applyFont="1" applyFill="1" applyBorder="1" applyAlignment="1" applyProtection="1">
      <alignment horizontal="left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left" vertical="center"/>
      <protection hidden="1"/>
    </xf>
    <xf numFmtId="0" fontId="2" fillId="2" borderId="5" xfId="0" applyFont="1" applyFill="1" applyBorder="1" applyAlignment="1" applyProtection="1">
      <alignment horizontal="left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3" fillId="2" borderId="11" xfId="0" applyFont="1" applyFill="1" applyBorder="1" applyAlignment="1" applyProtection="1">
      <alignment horizontal="left" vertical="center"/>
      <protection hidden="1"/>
    </xf>
    <xf numFmtId="0" fontId="3" fillId="2" borderId="5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7" fillId="3" borderId="19" xfId="0" applyFont="1" applyFill="1" applyBorder="1" applyAlignment="1" applyProtection="1">
      <alignment horizontal="center" vertical="center"/>
      <protection hidden="1"/>
    </xf>
    <xf numFmtId="0" fontId="2" fillId="3" borderId="11" xfId="0" applyFont="1" applyFill="1" applyBorder="1" applyAlignment="1" applyProtection="1">
      <alignment vertical="center"/>
      <protection hidden="1"/>
    </xf>
    <xf numFmtId="0" fontId="2" fillId="2" borderId="11" xfId="0" applyFont="1" applyFill="1" applyBorder="1" applyAlignment="1" applyProtection="1">
      <alignment vertical="center"/>
      <protection hidden="1"/>
    </xf>
    <xf numFmtId="0" fontId="2" fillId="2" borderId="14" xfId="0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3" fillId="2" borderId="15" xfId="0" applyFont="1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Alignment="1" applyProtection="1">
      <alignment horizontal="left" vertical="center"/>
      <protection hidden="1"/>
    </xf>
    <xf numFmtId="164" fontId="3" fillId="2" borderId="0" xfId="0" applyNumberFormat="1" applyFont="1" applyFill="1" applyAlignment="1" applyProtection="1">
      <alignment horizontal="center" vertical="center"/>
      <protection hidden="1"/>
    </xf>
    <xf numFmtId="164" fontId="2" fillId="2" borderId="0" xfId="0" applyNumberFormat="1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164" fontId="3" fillId="2" borderId="0" xfId="0" applyNumberFormat="1" applyFont="1" applyFill="1" applyAlignment="1" applyProtection="1">
      <alignment horizontal="left" vertical="center"/>
      <protection hidden="1"/>
    </xf>
    <xf numFmtId="0" fontId="7" fillId="3" borderId="16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164" fontId="8" fillId="2" borderId="0" xfId="0" applyNumberFormat="1" applyFont="1" applyFill="1" applyAlignment="1" applyProtection="1">
      <alignment horizontal="left" vertical="center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7" fillId="3" borderId="8" xfId="0" applyFont="1" applyFill="1" applyBorder="1" applyAlignment="1" applyProtection="1">
      <alignment horizontal="center" vertical="center"/>
      <protection hidden="1"/>
    </xf>
    <xf numFmtId="164" fontId="8" fillId="2" borderId="0" xfId="0" applyNumberFormat="1" applyFont="1" applyFill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164" fontId="8" fillId="2" borderId="0" xfId="0" applyNumberFormat="1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8" fillId="2" borderId="15" xfId="0" applyFont="1" applyFill="1" applyBorder="1" applyAlignment="1" applyProtection="1">
      <alignment horizontal="center" vertical="center"/>
      <protection hidden="1"/>
    </xf>
    <xf numFmtId="0" fontId="7" fillId="2" borderId="8" xfId="0" applyNumberFormat="1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>
      <alignment vertical="center"/>
    </xf>
    <xf numFmtId="0" fontId="0" fillId="2" borderId="0" xfId="0" applyFill="1"/>
    <xf numFmtId="0" fontId="11" fillId="2" borderId="0" xfId="0" applyFont="1" applyFill="1"/>
    <xf numFmtId="0" fontId="10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/>
    <xf numFmtId="0" fontId="14" fillId="2" borderId="0" xfId="0" applyFont="1" applyFill="1"/>
    <xf numFmtId="0" fontId="16" fillId="3" borderId="2" xfId="0" applyFont="1" applyFill="1" applyBorder="1" applyAlignment="1" applyProtection="1">
      <alignment vertical="center"/>
      <protection hidden="1"/>
    </xf>
    <xf numFmtId="0" fontId="10" fillId="2" borderId="0" xfId="0" applyFont="1" applyFill="1" applyAlignment="1">
      <alignment horizontal="left"/>
    </xf>
    <xf numFmtId="1" fontId="3" fillId="2" borderId="10" xfId="0" applyNumberFormat="1" applyFont="1" applyFill="1" applyBorder="1" applyAlignment="1" applyProtection="1">
      <alignment horizontal="center" vertical="center"/>
      <protection hidden="1"/>
    </xf>
    <xf numFmtId="1" fontId="3" fillId="5" borderId="3" xfId="0" applyNumberFormat="1" applyFont="1" applyFill="1" applyBorder="1" applyAlignment="1" applyProtection="1">
      <alignment horizontal="center" vertical="center"/>
      <protection locked="0"/>
    </xf>
    <xf numFmtId="0" fontId="7" fillId="6" borderId="8" xfId="0" applyFont="1" applyFill="1" applyBorder="1" applyAlignment="1" applyProtection="1">
      <alignment horizontal="center" vertical="center"/>
      <protection hidden="1"/>
    </xf>
    <xf numFmtId="0" fontId="8" fillId="2" borderId="8" xfId="0" applyFont="1" applyFill="1" applyBorder="1" applyAlignment="1" applyProtection="1">
      <alignment horizontal="center" vertical="center"/>
      <protection hidden="1"/>
    </xf>
    <xf numFmtId="0" fontId="8" fillId="5" borderId="8" xfId="0" applyFont="1" applyFill="1" applyBorder="1" applyAlignment="1" applyProtection="1">
      <alignment horizontal="left" vertical="center"/>
      <protection locked="0"/>
    </xf>
    <xf numFmtId="0" fontId="8" fillId="0" borderId="8" xfId="0" applyFont="1" applyFill="1" applyBorder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8" fillId="2" borderId="0" xfId="0" applyFont="1" applyFill="1" applyBorder="1" applyAlignment="1" applyProtection="1">
      <alignment vertical="center"/>
      <protection hidden="1"/>
    </xf>
    <xf numFmtId="0" fontId="2" fillId="3" borderId="10" xfId="0" applyFont="1" applyFill="1" applyBorder="1" applyAlignment="1" applyProtection="1">
      <alignment horizontal="left" vertical="center"/>
      <protection hidden="1"/>
    </xf>
    <xf numFmtId="0" fontId="2" fillId="3" borderId="0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16" fontId="3" fillId="2" borderId="8" xfId="0" applyNumberFormat="1" applyFont="1" applyFill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 applyProtection="1">
      <alignment horizontal="left" vertical="center" indent="2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left" vertical="center" indent="2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8" fillId="2" borderId="8" xfId="0" applyFont="1" applyFill="1" applyBorder="1" applyAlignment="1" applyProtection="1">
      <alignment horizontal="left" vertical="center"/>
      <protection hidden="1"/>
    </xf>
    <xf numFmtId="0" fontId="8" fillId="2" borderId="2" xfId="0" applyFont="1" applyFill="1" applyBorder="1" applyAlignment="1" applyProtection="1">
      <alignment horizontal="left" vertical="center"/>
      <protection hidden="1"/>
    </xf>
    <xf numFmtId="0" fontId="8" fillId="4" borderId="8" xfId="0" applyFont="1" applyFill="1" applyBorder="1" applyAlignment="1" applyProtection="1">
      <alignment horizontal="center" vertical="center"/>
      <protection hidden="1"/>
    </xf>
    <xf numFmtId="0" fontId="9" fillId="2" borderId="8" xfId="0" applyFont="1" applyFill="1" applyBorder="1" applyAlignment="1" applyProtection="1">
      <alignment horizontal="center" vertical="center"/>
      <protection hidden="1"/>
    </xf>
    <xf numFmtId="0" fontId="8" fillId="2" borderId="0" xfId="0" applyNumberFormat="1" applyFont="1" applyFill="1" applyAlignment="1" applyProtection="1">
      <alignment vertical="center"/>
      <protection hidden="1"/>
    </xf>
    <xf numFmtId="164" fontId="3" fillId="2" borderId="8" xfId="0" applyNumberFormat="1" applyFont="1" applyFill="1" applyBorder="1" applyAlignment="1" applyProtection="1">
      <alignment horizontal="left" vertical="center"/>
      <protection hidden="1"/>
    </xf>
    <xf numFmtId="164" fontId="8" fillId="2" borderId="8" xfId="0" applyNumberFormat="1" applyFont="1" applyFill="1" applyBorder="1" applyAlignment="1" applyProtection="1">
      <alignment horizontal="left" vertical="center"/>
      <protection hidden="1"/>
    </xf>
    <xf numFmtId="0" fontId="3" fillId="2" borderId="5" xfId="0" applyFont="1" applyFill="1" applyBorder="1" applyAlignment="1" applyProtection="1">
      <alignment horizontal="left" vertical="center" indent="2"/>
      <protection hidden="1"/>
    </xf>
    <xf numFmtId="0" fontId="3" fillId="2" borderId="4" xfId="0" applyFont="1" applyFill="1" applyBorder="1" applyAlignment="1" applyProtection="1">
      <alignment horizontal="left" vertical="center"/>
      <protection hidden="1"/>
    </xf>
    <xf numFmtId="0" fontId="8" fillId="2" borderId="4" xfId="0" applyFont="1" applyFill="1" applyBorder="1" applyAlignment="1" applyProtection="1">
      <alignment horizontal="left" vertical="center"/>
      <protection hidden="1"/>
    </xf>
    <xf numFmtId="164" fontId="8" fillId="2" borderId="4" xfId="0" applyNumberFormat="1" applyFont="1" applyFill="1" applyBorder="1" applyAlignment="1" applyProtection="1">
      <alignment horizontal="left" vertical="center"/>
      <protection hidden="1"/>
    </xf>
    <xf numFmtId="0" fontId="15" fillId="0" borderId="0" xfId="0" applyFont="1" applyProtection="1"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horizontal="center" vertical="center"/>
      <protection hidden="1"/>
    </xf>
    <xf numFmtId="164" fontId="2" fillId="2" borderId="0" xfId="0" applyNumberFormat="1" applyFont="1" applyFill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164" fontId="7" fillId="2" borderId="0" xfId="0" applyNumberFormat="1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2" fillId="3" borderId="20" xfId="0" applyFont="1" applyFill="1" applyBorder="1" applyAlignment="1" applyProtection="1">
      <alignment horizontal="left" vertical="center"/>
      <protection hidden="1"/>
    </xf>
    <xf numFmtId="0" fontId="2" fillId="3" borderId="3" xfId="0" applyFont="1" applyFill="1" applyBorder="1" applyAlignment="1" applyProtection="1">
      <alignment horizontal="left" vertical="center"/>
      <protection hidden="1"/>
    </xf>
    <xf numFmtId="0" fontId="7" fillId="3" borderId="3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0" fillId="2" borderId="0" xfId="0" applyFill="1" applyProtection="1">
      <protection hidden="1"/>
    </xf>
    <xf numFmtId="0" fontId="6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3" borderId="3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7" fillId="3" borderId="2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right" vertical="center"/>
      <protection hidden="1"/>
    </xf>
    <xf numFmtId="164" fontId="7" fillId="2" borderId="0" xfId="0" applyNumberFormat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right" vertical="center"/>
      <protection hidden="1"/>
    </xf>
    <xf numFmtId="164" fontId="8" fillId="2" borderId="0" xfId="0" applyNumberFormat="1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left" vertical="center"/>
      <protection hidden="1"/>
    </xf>
    <xf numFmtId="164" fontId="7" fillId="3" borderId="0" xfId="0" applyNumberFormat="1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164" fontId="3" fillId="2" borderId="4" xfId="0" applyNumberFormat="1" applyFont="1" applyFill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 applyProtection="1">
      <alignment horizontal="left" vertical="center"/>
      <protection hidden="1"/>
    </xf>
    <xf numFmtId="0" fontId="3" fillId="2" borderId="3" xfId="0" applyFont="1" applyFill="1" applyBorder="1" applyAlignment="1" applyProtection="1">
      <alignment horizontal="left" vertical="center"/>
      <protection hidden="1"/>
    </xf>
    <xf numFmtId="0" fontId="3" fillId="2" borderId="9" xfId="0" applyFont="1" applyFill="1" applyBorder="1" applyAlignment="1" applyProtection="1">
      <alignment horizontal="left" vertical="center"/>
      <protection hidden="1"/>
    </xf>
    <xf numFmtId="0" fontId="8" fillId="2" borderId="3" xfId="0" applyFont="1" applyFill="1" applyBorder="1" applyAlignment="1" applyProtection="1">
      <alignment horizontal="left" vertical="center"/>
      <protection hidden="1"/>
    </xf>
    <xf numFmtId="0" fontId="8" fillId="2" borderId="4" xfId="0" applyFont="1" applyFill="1" applyBorder="1" applyAlignment="1" applyProtection="1">
      <alignment horizontal="center" vertical="center"/>
      <protection hidden="1"/>
    </xf>
    <xf numFmtId="164" fontId="8" fillId="2" borderId="0" xfId="0" applyNumberFormat="1" applyFont="1" applyFill="1" applyAlignment="1" applyProtection="1">
      <alignment vertical="center"/>
      <protection hidden="1"/>
    </xf>
    <xf numFmtId="0" fontId="3" fillId="2" borderId="14" xfId="0" applyFont="1" applyFill="1" applyBorder="1" applyAlignment="1" applyProtection="1">
      <alignment horizontal="left" vertical="center"/>
      <protection hidden="1"/>
    </xf>
    <xf numFmtId="164" fontId="3" fillId="2" borderId="1" xfId="0" applyNumberFormat="1" applyFont="1" applyFill="1" applyBorder="1" applyAlignment="1" applyProtection="1">
      <alignment horizontal="left" vertical="center"/>
      <protection hidden="1"/>
    </xf>
    <xf numFmtId="0" fontId="8" fillId="2" borderId="14" xfId="0" applyFont="1" applyFill="1" applyBorder="1" applyAlignment="1" applyProtection="1">
      <alignment horizontal="left" vertical="center"/>
      <protection hidden="1"/>
    </xf>
    <xf numFmtId="164" fontId="8" fillId="2" borderId="1" xfId="0" applyNumberFormat="1" applyFont="1" applyFill="1" applyBorder="1" applyAlignment="1" applyProtection="1">
      <alignment horizontal="left" vertical="center"/>
      <protection hidden="1"/>
    </xf>
    <xf numFmtId="164" fontId="3" fillId="2" borderId="0" xfId="0" applyNumberFormat="1" applyFont="1" applyFill="1" applyBorder="1" applyAlignment="1" applyProtection="1">
      <alignment vertical="center"/>
      <protection hidden="1"/>
    </xf>
    <xf numFmtId="164" fontId="8" fillId="2" borderId="0" xfId="0" applyNumberFormat="1" applyFont="1" applyFill="1" applyBorder="1" applyAlignment="1" applyProtection="1">
      <alignment vertical="center"/>
      <protection hidden="1"/>
    </xf>
    <xf numFmtId="0" fontId="3" fillId="2" borderId="20" xfId="0" applyFont="1" applyFill="1" applyBorder="1" applyAlignment="1" applyProtection="1">
      <alignment horizontal="left" vertical="center"/>
      <protection hidden="1"/>
    </xf>
    <xf numFmtId="164" fontId="3" fillId="2" borderId="18" xfId="0" applyNumberFormat="1" applyFont="1" applyFill="1" applyBorder="1" applyAlignment="1" applyProtection="1">
      <alignment horizontal="left" vertical="center"/>
      <protection hidden="1"/>
    </xf>
    <xf numFmtId="0" fontId="8" fillId="2" borderId="20" xfId="0" applyFont="1" applyFill="1" applyBorder="1" applyAlignment="1" applyProtection="1">
      <alignment horizontal="left" vertical="center"/>
      <protection hidden="1"/>
    </xf>
    <xf numFmtId="164" fontId="8" fillId="2" borderId="18" xfId="0" applyNumberFormat="1" applyFont="1" applyFill="1" applyBorder="1" applyAlignment="1" applyProtection="1">
      <alignment horizontal="left" vertical="center"/>
      <protection hidden="1"/>
    </xf>
    <xf numFmtId="164" fontId="7" fillId="2" borderId="0" xfId="0" applyNumberFormat="1" applyFont="1" applyFill="1" applyBorder="1" applyAlignment="1" applyProtection="1">
      <alignment horizontal="left" vertical="center"/>
      <protection hidden="1"/>
    </xf>
    <xf numFmtId="0" fontId="2" fillId="3" borderId="8" xfId="0" applyFont="1" applyFill="1" applyBorder="1" applyAlignment="1" applyProtection="1">
      <alignment horizontal="left" vertical="center"/>
      <protection hidden="1"/>
    </xf>
    <xf numFmtId="0" fontId="2" fillId="3" borderId="8" xfId="0" applyFont="1" applyFill="1" applyBorder="1" applyAlignment="1" applyProtection="1">
      <alignment vertical="center"/>
      <protection hidden="1"/>
    </xf>
    <xf numFmtId="0" fontId="3" fillId="2" borderId="21" xfId="0" applyFont="1" applyFill="1" applyBorder="1" applyAlignment="1" applyProtection="1">
      <alignment horizontal="center" vertical="center"/>
      <protection hidden="1"/>
    </xf>
    <xf numFmtId="0" fontId="3" fillId="2" borderId="21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49" fontId="8" fillId="2" borderId="0" xfId="0" applyNumberFormat="1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NumberFormat="1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left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0" fontId="7" fillId="3" borderId="18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7" fillId="3" borderId="17" xfId="0" applyFont="1" applyFill="1" applyBorder="1" applyAlignment="1" applyProtection="1">
      <alignment horizontal="center" vertical="center"/>
      <protection hidden="1"/>
    </xf>
    <xf numFmtId="0" fontId="7" fillId="3" borderId="2" xfId="0" applyFont="1" applyFill="1" applyBorder="1" applyAlignment="1" applyProtection="1">
      <alignment horizontal="center" vertical="center"/>
      <protection hidden="1"/>
    </xf>
    <xf numFmtId="0" fontId="7" fillId="3" borderId="9" xfId="0" applyFont="1" applyFill="1" applyBorder="1" applyAlignment="1" applyProtection="1">
      <alignment horizontal="center" vertical="center"/>
      <protection hidden="1"/>
    </xf>
    <xf numFmtId="0" fontId="2" fillId="3" borderId="10" xfId="0" applyFont="1" applyFill="1" applyBorder="1" applyAlignment="1" applyProtection="1">
      <alignment horizontal="center" vertical="center"/>
      <protection hidden="1"/>
    </xf>
    <xf numFmtId="0" fontId="17" fillId="3" borderId="9" xfId="0" applyFont="1" applyFill="1" applyBorder="1" applyAlignment="1" applyProtection="1">
      <alignment horizontal="center" vertical="center"/>
      <protection locked="0" hidden="1"/>
    </xf>
    <xf numFmtId="0" fontId="3" fillId="7" borderId="0" xfId="0" applyFont="1" applyFill="1" applyAlignment="1" applyProtection="1">
      <alignment vertical="center"/>
      <protection hidden="1"/>
    </xf>
    <xf numFmtId="0" fontId="8" fillId="0" borderId="0" xfId="0" applyFont="1" applyFill="1" applyAlignment="1" applyProtection="1">
      <alignment horizontal="left" vertical="center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16" fontId="8" fillId="0" borderId="0" xfId="0" applyNumberFormat="1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164" fontId="8" fillId="0" borderId="0" xfId="0" applyNumberFormat="1" applyFont="1" applyFill="1" applyBorder="1" applyAlignment="1" applyProtection="1">
      <alignment horizontal="left" vertical="center"/>
      <protection hidden="1"/>
    </xf>
    <xf numFmtId="164" fontId="7" fillId="0" borderId="0" xfId="0" applyNumberFormat="1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164" fontId="8" fillId="0" borderId="0" xfId="0" applyNumberFormat="1" applyFont="1" applyFill="1" applyBorder="1" applyAlignment="1" applyProtection="1">
      <alignment vertical="center"/>
      <protection hidden="1"/>
    </xf>
    <xf numFmtId="1" fontId="4" fillId="2" borderId="0" xfId="0" applyNumberFormat="1" applyFont="1" applyFill="1" applyAlignment="1" applyProtection="1">
      <alignment vertical="center"/>
      <protection hidden="1"/>
    </xf>
    <xf numFmtId="0" fontId="10" fillId="2" borderId="22" xfId="0" applyFont="1" applyFill="1" applyBorder="1" applyProtection="1">
      <protection hidden="1"/>
    </xf>
    <xf numFmtId="0" fontId="10" fillId="2" borderId="23" xfId="0" applyFont="1" applyFill="1" applyBorder="1" applyProtection="1">
      <protection hidden="1"/>
    </xf>
    <xf numFmtId="0" fontId="0" fillId="2" borderId="23" xfId="0" applyFill="1" applyBorder="1" applyProtection="1">
      <protection hidden="1"/>
    </xf>
    <xf numFmtId="0" fontId="0" fillId="2" borderId="24" xfId="0" applyFill="1" applyBorder="1" applyProtection="1">
      <protection hidden="1"/>
    </xf>
    <xf numFmtId="0" fontId="3" fillId="2" borderId="2" xfId="0" applyFont="1" applyFill="1" applyBorder="1" applyAlignment="1" applyProtection="1">
      <alignment horizontal="left" vertical="center"/>
      <protection locked="0" hidden="1"/>
    </xf>
    <xf numFmtId="0" fontId="3" fillId="2" borderId="3" xfId="0" applyFont="1" applyFill="1" applyBorder="1" applyAlignment="1" applyProtection="1">
      <alignment horizontal="left" vertical="center"/>
      <protection locked="0" hidden="1"/>
    </xf>
    <xf numFmtId="0" fontId="3" fillId="2" borderId="9" xfId="0" applyFont="1" applyFill="1" applyBorder="1" applyAlignment="1" applyProtection="1">
      <alignment horizontal="left" vertical="center"/>
      <protection locked="0" hidden="1"/>
    </xf>
    <xf numFmtId="0" fontId="3" fillId="2" borderId="0" xfId="0" applyNumberFormat="1" applyFont="1" applyFill="1" applyBorder="1" applyAlignment="1" applyProtection="1">
      <alignment horizontal="center" vertical="center"/>
      <protection hidden="1"/>
    </xf>
    <xf numFmtId="49" fontId="3" fillId="2" borderId="0" xfId="0" applyNumberFormat="1" applyFont="1" applyFill="1" applyBorder="1" applyAlignment="1" applyProtection="1">
      <alignment horizontal="left" vertical="center"/>
      <protection hidden="1"/>
    </xf>
    <xf numFmtId="0" fontId="3" fillId="0" borderId="0" xfId="0" applyNumberFormat="1" applyFont="1" applyFill="1" applyBorder="1" applyAlignment="1" applyProtection="1">
      <alignment horizontal="center" vertical="center"/>
      <protection hidden="1"/>
    </xf>
    <xf numFmtId="49" fontId="3" fillId="0" borderId="0" xfId="0" applyNumberFormat="1" applyFont="1" applyFill="1" applyBorder="1" applyAlignment="1" applyProtection="1">
      <alignment horizontal="left" vertical="center"/>
      <protection hidden="1"/>
    </xf>
    <xf numFmtId="0" fontId="18" fillId="2" borderId="0" xfId="0" applyFont="1" applyFill="1"/>
    <xf numFmtId="0" fontId="19" fillId="2" borderId="0" xfId="1" applyFill="1"/>
    <xf numFmtId="0" fontId="7" fillId="0" borderId="0" xfId="0" applyFont="1" applyFill="1" applyBorder="1" applyAlignment="1" applyProtection="1">
      <alignment horizontal="center" vertical="center"/>
      <protection hidden="1"/>
    </xf>
    <xf numFmtId="0" fontId="2" fillId="3" borderId="10" xfId="0" applyFont="1" applyFill="1" applyBorder="1" applyAlignment="1" applyProtection="1">
      <alignment horizontal="center" vertical="center"/>
      <protection hidden="1"/>
    </xf>
    <xf numFmtId="0" fontId="7" fillId="3" borderId="2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7" fillId="3" borderId="9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2" fillId="3" borderId="18" xfId="0" applyFont="1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2" fillId="3" borderId="17" xfId="0" applyFont="1" applyFill="1" applyBorder="1" applyAlignment="1" applyProtection="1">
      <alignment horizontal="center" vertical="center"/>
      <protection hidden="1"/>
    </xf>
    <xf numFmtId="49" fontId="8" fillId="5" borderId="2" xfId="0" applyNumberFormat="1" applyFont="1" applyFill="1" applyBorder="1" applyAlignment="1" applyProtection="1">
      <alignment horizontal="center" vertical="center"/>
      <protection locked="0"/>
    </xf>
    <xf numFmtId="49" fontId="8" fillId="5" borderId="3" xfId="0" applyNumberFormat="1" applyFont="1" applyFill="1" applyBorder="1" applyAlignment="1" applyProtection="1">
      <alignment horizontal="center" vertical="center"/>
      <protection locked="0"/>
    </xf>
    <xf numFmtId="49" fontId="8" fillId="5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hidden="1"/>
    </xf>
    <xf numFmtId="0" fontId="2" fillId="3" borderId="9" xfId="0" applyFont="1" applyFill="1" applyBorder="1" applyAlignment="1" applyProtection="1">
      <alignment horizontal="center" vertical="center"/>
      <protection hidden="1"/>
    </xf>
    <xf numFmtId="0" fontId="0" fillId="2" borderId="25" xfId="0" applyFill="1" applyBorder="1" applyAlignment="1" applyProtection="1">
      <alignment horizontal="left" vertical="top" wrapText="1"/>
      <protection hidden="1"/>
    </xf>
    <xf numFmtId="0" fontId="0" fillId="2" borderId="0" xfId="0" applyFill="1" applyAlignment="1" applyProtection="1">
      <alignment horizontal="left" vertical="top" wrapText="1"/>
      <protection hidden="1"/>
    </xf>
    <xf numFmtId="0" fontId="0" fillId="2" borderId="26" xfId="0" applyFill="1" applyBorder="1" applyAlignment="1" applyProtection="1">
      <alignment horizontal="left" vertical="top" wrapText="1"/>
      <protection hidden="1"/>
    </xf>
    <xf numFmtId="0" fontId="0" fillId="2" borderId="27" xfId="0" applyFill="1" applyBorder="1" applyAlignment="1" applyProtection="1">
      <alignment horizontal="left" vertical="top" wrapText="1"/>
      <protection hidden="1"/>
    </xf>
    <xf numFmtId="0" fontId="0" fillId="2" borderId="28" xfId="0" applyFill="1" applyBorder="1" applyAlignment="1" applyProtection="1">
      <alignment horizontal="left" vertical="top" wrapText="1"/>
      <protection hidden="1"/>
    </xf>
    <xf numFmtId="0" fontId="0" fillId="2" borderId="29" xfId="0" applyFill="1" applyBorder="1" applyAlignment="1" applyProtection="1">
      <alignment horizontal="left" vertical="top" wrapText="1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49" fontId="3" fillId="5" borderId="2" xfId="0" applyNumberFormat="1" applyFont="1" applyFill="1" applyBorder="1" applyAlignment="1" applyProtection="1">
      <alignment horizontal="center" vertical="center"/>
      <protection locked="0"/>
    </xf>
    <xf numFmtId="49" fontId="3" fillId="5" borderId="3" xfId="0" applyNumberFormat="1" applyFont="1" applyFill="1" applyBorder="1" applyAlignment="1" applyProtection="1">
      <alignment horizontal="center" vertical="center"/>
      <protection locked="0"/>
    </xf>
    <xf numFmtId="49" fontId="3" fillId="5" borderId="9" xfId="0" applyNumberFormat="1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7" fillId="3" borderId="9" xfId="0" applyFont="1" applyFill="1" applyBorder="1" applyAlignment="1" applyProtection="1">
      <alignment horizontal="center" vertical="center"/>
      <protection hidden="1"/>
    </xf>
    <xf numFmtId="0" fontId="7" fillId="6" borderId="2" xfId="0" applyNumberFormat="1" applyFont="1" applyFill="1" applyBorder="1" applyAlignment="1" applyProtection="1">
      <alignment horizontal="center" vertical="center"/>
      <protection hidden="1"/>
    </xf>
    <xf numFmtId="0" fontId="7" fillId="6" borderId="3" xfId="0" applyNumberFormat="1" applyFont="1" applyFill="1" applyBorder="1" applyAlignment="1" applyProtection="1">
      <alignment horizontal="center" vertical="center"/>
      <protection hidden="1"/>
    </xf>
    <xf numFmtId="0" fontId="7" fillId="6" borderId="9" xfId="0" applyNumberFormat="1" applyFont="1" applyFill="1" applyBorder="1" applyAlignment="1" applyProtection="1">
      <alignment horizontal="center" vertical="center"/>
      <protection hidden="1"/>
    </xf>
  </cellXfs>
  <cellStyles count="2">
    <cellStyle name="Hyperlänk" xfId="1" builtinId="8"/>
    <cellStyle name="Normal" xfId="0" builtinId="0"/>
  </cellStyles>
  <dxfs count="6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AFD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ngall.com/start-button-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26" Type="http://schemas.openxmlformats.org/officeDocument/2006/relationships/image" Target="../media/image27.png"/><Relationship Id="rId3" Type="http://schemas.openxmlformats.org/officeDocument/2006/relationships/image" Target="../media/image4.png"/><Relationship Id="rId21" Type="http://schemas.openxmlformats.org/officeDocument/2006/relationships/image" Target="../media/image22.png"/><Relationship Id="rId34" Type="http://schemas.openxmlformats.org/officeDocument/2006/relationships/image" Target="../media/image35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5" Type="http://schemas.openxmlformats.org/officeDocument/2006/relationships/image" Target="../media/image26.png"/><Relationship Id="rId33" Type="http://schemas.openxmlformats.org/officeDocument/2006/relationships/image" Target="../media/image34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29" Type="http://schemas.openxmlformats.org/officeDocument/2006/relationships/image" Target="../media/image30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24" Type="http://schemas.openxmlformats.org/officeDocument/2006/relationships/image" Target="../media/image25.png"/><Relationship Id="rId32" Type="http://schemas.openxmlformats.org/officeDocument/2006/relationships/image" Target="../media/image33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23" Type="http://schemas.openxmlformats.org/officeDocument/2006/relationships/image" Target="../media/image24.png"/><Relationship Id="rId28" Type="http://schemas.openxmlformats.org/officeDocument/2006/relationships/image" Target="../media/image29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31" Type="http://schemas.openxmlformats.org/officeDocument/2006/relationships/image" Target="../media/image32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Relationship Id="rId22" Type="http://schemas.openxmlformats.org/officeDocument/2006/relationships/image" Target="../media/image23.png"/><Relationship Id="rId27" Type="http://schemas.openxmlformats.org/officeDocument/2006/relationships/image" Target="../media/image28.png"/><Relationship Id="rId30" Type="http://schemas.openxmlformats.org/officeDocument/2006/relationships/image" Target="../media/image31.png"/><Relationship Id="rId35" Type="http://schemas.openxmlformats.org/officeDocument/2006/relationships/image" Target="../media/image36.png"/><Relationship Id="rId8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26" Type="http://schemas.openxmlformats.org/officeDocument/2006/relationships/image" Target="../media/image30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5" Type="http://schemas.openxmlformats.org/officeDocument/2006/relationships/image" Target="../media/image29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29" Type="http://schemas.openxmlformats.org/officeDocument/2006/relationships/image" Target="../media/image33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24" Type="http://schemas.openxmlformats.org/officeDocument/2006/relationships/image" Target="../media/image28.png"/><Relationship Id="rId32" Type="http://schemas.openxmlformats.org/officeDocument/2006/relationships/image" Target="../media/image36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23" Type="http://schemas.openxmlformats.org/officeDocument/2006/relationships/image" Target="../media/image27.png"/><Relationship Id="rId28" Type="http://schemas.openxmlformats.org/officeDocument/2006/relationships/image" Target="../media/image32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31" Type="http://schemas.openxmlformats.org/officeDocument/2006/relationships/image" Target="../media/image35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Relationship Id="rId27" Type="http://schemas.openxmlformats.org/officeDocument/2006/relationships/image" Target="../media/image31.png"/><Relationship Id="rId30" Type="http://schemas.openxmlformats.org/officeDocument/2006/relationships/image" Target="../media/image34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26" Type="http://schemas.openxmlformats.org/officeDocument/2006/relationships/image" Target="../media/image30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5" Type="http://schemas.openxmlformats.org/officeDocument/2006/relationships/image" Target="../media/image29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29" Type="http://schemas.openxmlformats.org/officeDocument/2006/relationships/image" Target="../media/image33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24" Type="http://schemas.openxmlformats.org/officeDocument/2006/relationships/image" Target="../media/image28.png"/><Relationship Id="rId32" Type="http://schemas.openxmlformats.org/officeDocument/2006/relationships/image" Target="../media/image36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23" Type="http://schemas.openxmlformats.org/officeDocument/2006/relationships/image" Target="../media/image27.png"/><Relationship Id="rId28" Type="http://schemas.openxmlformats.org/officeDocument/2006/relationships/image" Target="../media/image32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31" Type="http://schemas.openxmlformats.org/officeDocument/2006/relationships/image" Target="../media/image35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Relationship Id="rId27" Type="http://schemas.openxmlformats.org/officeDocument/2006/relationships/image" Target="../media/image31.png"/><Relationship Id="rId30" Type="http://schemas.openxmlformats.org/officeDocument/2006/relationships/image" Target="../media/image3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800100</xdr:colOff>
      <xdr:row>2</xdr:row>
      <xdr:rowOff>19050</xdr:rowOff>
    </xdr:from>
    <xdr:to>
      <xdr:col>6</xdr:col>
      <xdr:colOff>447675</xdr:colOff>
      <xdr:row>4</xdr:row>
      <xdr:rowOff>149890</xdr:rowOff>
    </xdr:to>
    <xdr:pic macro="[0]!New_tip">
      <xdr:nvPicPr>
        <xdr:cNvPr id="4" name="Picture 3">
          <a:extLst>
            <a:ext uri="{FF2B5EF4-FFF2-40B4-BE49-F238E27FC236}">
              <a16:creationId xmlns:a16="http://schemas.microsoft.com/office/drawing/2014/main" id="{718C8584-01DE-4A8F-9408-34A04FBB5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/>
        <a:stretch/>
      </xdr:blipFill>
      <xdr:spPr bwMode="auto">
        <a:xfrm>
          <a:off x="5810250" y="476250"/>
          <a:ext cx="685800" cy="511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66</xdr:col>
      <xdr:colOff>285752</xdr:colOff>
      <xdr:row>5</xdr:row>
      <xdr:rowOff>23810</xdr:rowOff>
    </xdr:from>
    <xdr:to>
      <xdr:col>66</xdr:col>
      <xdr:colOff>429752</xdr:colOff>
      <xdr:row>5</xdr:row>
      <xdr:rowOff>167810</xdr:rowOff>
    </xdr:to>
    <xdr:pic>
      <xdr:nvPicPr>
        <xdr:cNvPr id="127" name="Picture 126" descr="C:\Users\Sebastian\AppData\Local\Microsoft\Windows\Temporary Internet Files\Content.IE5\7BQH722P\Bronze_medal_icon.svg[1].png">
          <a:extLst>
            <a:ext uri="{FF2B5EF4-FFF2-40B4-BE49-F238E27FC236}">
              <a16:creationId xmlns:a16="http://schemas.microsoft.com/office/drawing/2014/main" id="{9C4C98B8-7273-4C62-B572-8F912A999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7" y="909635"/>
          <a:ext cx="144000" cy="144000"/>
        </a:xfrm>
        <a:prstGeom prst="rect">
          <a:avLst/>
        </a:prstGeom>
        <a:noFill/>
        <a:scene3d>
          <a:camera prst="perspectiveFront"/>
          <a:lightRig rig="threePt" dir="t"/>
        </a:scene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66</xdr:col>
      <xdr:colOff>285751</xdr:colOff>
      <xdr:row>4</xdr:row>
      <xdr:rowOff>19051</xdr:rowOff>
    </xdr:from>
    <xdr:to>
      <xdr:col>66</xdr:col>
      <xdr:colOff>429751</xdr:colOff>
      <xdr:row>4</xdr:row>
      <xdr:rowOff>163051</xdr:rowOff>
    </xdr:to>
    <xdr:pic>
      <xdr:nvPicPr>
        <xdr:cNvPr id="128" name="Picture 127" descr="C:\Users\Sebastian\AppData\Local\Microsoft\Windows\Temporary Internet Files\Content.IE5\3PV8NCE7\Silver_medal_icon.svg[1].png">
          <a:extLst>
            <a:ext uri="{FF2B5EF4-FFF2-40B4-BE49-F238E27FC236}">
              <a16:creationId xmlns:a16="http://schemas.microsoft.com/office/drawing/2014/main" id="{2514A9C2-C6A4-400A-8654-F9074E1A6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6" y="723901"/>
          <a:ext cx="144000" cy="144000"/>
        </a:xfrm>
        <a:prstGeom prst="rect">
          <a:avLst/>
        </a:prstGeom>
        <a:noFill/>
        <a:scene3d>
          <a:camera prst="perspectiveFront"/>
          <a:lightRig rig="threePt" dir="t"/>
        </a:scene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66</xdr:col>
      <xdr:colOff>285753</xdr:colOff>
      <xdr:row>3</xdr:row>
      <xdr:rowOff>19050</xdr:rowOff>
    </xdr:from>
    <xdr:to>
      <xdr:col>66</xdr:col>
      <xdr:colOff>429753</xdr:colOff>
      <xdr:row>3</xdr:row>
      <xdr:rowOff>163050</xdr:rowOff>
    </xdr:to>
    <xdr:pic>
      <xdr:nvPicPr>
        <xdr:cNvPr id="129" name="Picture 128" descr="C:\Users\Sebastian\AppData\Local\Microsoft\Windows\Temporary Internet Files\Content.IE5\IGSHB0O1\Gold_medal_icon.svg[1].png">
          <a:extLst>
            <a:ext uri="{FF2B5EF4-FFF2-40B4-BE49-F238E27FC236}">
              <a16:creationId xmlns:a16="http://schemas.microsoft.com/office/drawing/2014/main" id="{C1779493-FC04-4358-BD18-10710C1F5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8" y="542925"/>
          <a:ext cx="144000" cy="144000"/>
        </a:xfrm>
        <a:prstGeom prst="rect">
          <a:avLst/>
        </a:prstGeom>
        <a:noFill/>
        <a:scene3d>
          <a:camera prst="perspectiveFront"/>
          <a:lightRig rig="threePt" dir="t"/>
        </a:scene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31751</xdr:colOff>
      <xdr:row>3</xdr:row>
      <xdr:rowOff>47626</xdr:rowOff>
    </xdr:from>
    <xdr:to>
      <xdr:col>3</xdr:col>
      <xdr:colOff>196099</xdr:colOff>
      <xdr:row>3</xdr:row>
      <xdr:rowOff>155626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8D3B1B8-E77C-4D7F-A4FA-1BB655A08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1876" y="571501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3</xdr:row>
      <xdr:rowOff>47626</xdr:rowOff>
    </xdr:from>
    <xdr:to>
      <xdr:col>5</xdr:col>
      <xdr:colOff>180223</xdr:colOff>
      <xdr:row>3</xdr:row>
      <xdr:rowOff>155626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C55A2BF-C554-43A6-9A22-68155ED87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01875" y="571501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4</xdr:row>
      <xdr:rowOff>39688</xdr:rowOff>
    </xdr:from>
    <xdr:to>
      <xdr:col>3</xdr:col>
      <xdr:colOff>196099</xdr:colOff>
      <xdr:row>4</xdr:row>
      <xdr:rowOff>147688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3734BD8-206E-481E-A6F6-526C1229B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31876" y="746126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4</xdr:row>
      <xdr:rowOff>39688</xdr:rowOff>
    </xdr:from>
    <xdr:to>
      <xdr:col>5</xdr:col>
      <xdr:colOff>180223</xdr:colOff>
      <xdr:row>4</xdr:row>
      <xdr:rowOff>147688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97D7FDA-4B88-4119-BDEF-17E32AA4D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301875" y="746126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5</xdr:row>
      <xdr:rowOff>43657</xdr:rowOff>
    </xdr:from>
    <xdr:to>
      <xdr:col>3</xdr:col>
      <xdr:colOff>196099</xdr:colOff>
      <xdr:row>5</xdr:row>
      <xdr:rowOff>151657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EECAB494-DE3F-4126-B1A8-5545C0E32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1876" y="93265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8</xdr:row>
      <xdr:rowOff>47626</xdr:rowOff>
    </xdr:from>
    <xdr:to>
      <xdr:col>5</xdr:col>
      <xdr:colOff>180223</xdr:colOff>
      <xdr:row>8</xdr:row>
      <xdr:rowOff>155626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7F17F9F8-382A-4536-A19B-B055AF267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01875" y="148431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6</xdr:row>
      <xdr:rowOff>39688</xdr:rowOff>
    </xdr:from>
    <xdr:to>
      <xdr:col>5</xdr:col>
      <xdr:colOff>180223</xdr:colOff>
      <xdr:row>6</xdr:row>
      <xdr:rowOff>147688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AF649E49-8AC9-4E6C-A3BF-262B9D260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01875" y="1111251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7</xdr:row>
      <xdr:rowOff>43657</xdr:rowOff>
    </xdr:from>
    <xdr:to>
      <xdr:col>3</xdr:col>
      <xdr:colOff>196099</xdr:colOff>
      <xdr:row>7</xdr:row>
      <xdr:rowOff>151657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E4267B03-183C-413D-B1EB-98870B641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31876" y="129778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5</xdr:row>
      <xdr:rowOff>43657</xdr:rowOff>
    </xdr:from>
    <xdr:to>
      <xdr:col>5</xdr:col>
      <xdr:colOff>180223</xdr:colOff>
      <xdr:row>5</xdr:row>
      <xdr:rowOff>151657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05D77083-9F28-44CD-B845-5F8EF5B45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01875" y="93265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7</xdr:row>
      <xdr:rowOff>43657</xdr:rowOff>
    </xdr:from>
    <xdr:to>
      <xdr:col>5</xdr:col>
      <xdr:colOff>180223</xdr:colOff>
      <xdr:row>7</xdr:row>
      <xdr:rowOff>151657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68FB451E-577B-4F31-B3B1-DE5F41D7A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01875" y="129778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6</xdr:row>
      <xdr:rowOff>39688</xdr:rowOff>
    </xdr:from>
    <xdr:to>
      <xdr:col>3</xdr:col>
      <xdr:colOff>196099</xdr:colOff>
      <xdr:row>6</xdr:row>
      <xdr:rowOff>147688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CB54AE26-543E-4E94-8170-FC4648F8A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31876" y="1111251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8</xdr:row>
      <xdr:rowOff>47626</xdr:rowOff>
    </xdr:from>
    <xdr:to>
      <xdr:col>3</xdr:col>
      <xdr:colOff>196099</xdr:colOff>
      <xdr:row>8</xdr:row>
      <xdr:rowOff>155626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B42802EB-F523-4195-B77E-1C5CCB7F0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31876" y="148431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12</xdr:row>
      <xdr:rowOff>47625</xdr:rowOff>
    </xdr:from>
    <xdr:to>
      <xdr:col>3</xdr:col>
      <xdr:colOff>196099</xdr:colOff>
      <xdr:row>12</xdr:row>
      <xdr:rowOff>155625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BED536E-CE43-45A3-9AA1-ABDAB2CC9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31876" y="2214563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12</xdr:row>
      <xdr:rowOff>47625</xdr:rowOff>
    </xdr:from>
    <xdr:to>
      <xdr:col>5</xdr:col>
      <xdr:colOff>180223</xdr:colOff>
      <xdr:row>12</xdr:row>
      <xdr:rowOff>155625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22E332E-BFB0-4093-A137-DE590AC9C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301875" y="2214563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14</xdr:row>
      <xdr:rowOff>31750</xdr:rowOff>
    </xdr:from>
    <xdr:to>
      <xdr:col>3</xdr:col>
      <xdr:colOff>196099</xdr:colOff>
      <xdr:row>14</xdr:row>
      <xdr:rowOff>139750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10CF7FE-059F-4ECB-9415-7F413FA0C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31876" y="2563813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16</xdr:row>
      <xdr:rowOff>35719</xdr:rowOff>
    </xdr:from>
    <xdr:to>
      <xdr:col>5</xdr:col>
      <xdr:colOff>180223</xdr:colOff>
      <xdr:row>16</xdr:row>
      <xdr:rowOff>143719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30673C0D-06B1-4F43-A1E7-9E4DAF5FE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301875" y="293290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15</xdr:row>
      <xdr:rowOff>35719</xdr:rowOff>
    </xdr:from>
    <xdr:to>
      <xdr:col>3</xdr:col>
      <xdr:colOff>196099</xdr:colOff>
      <xdr:row>15</xdr:row>
      <xdr:rowOff>143719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334ED3C1-372B-4B95-BAE1-CD056B9FC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31876" y="275034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17</xdr:row>
      <xdr:rowOff>55562</xdr:rowOff>
    </xdr:from>
    <xdr:to>
      <xdr:col>3</xdr:col>
      <xdr:colOff>196099</xdr:colOff>
      <xdr:row>17</xdr:row>
      <xdr:rowOff>163562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38418963-955D-47A3-9E9E-3C224E780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31876" y="313531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14</xdr:row>
      <xdr:rowOff>31750</xdr:rowOff>
    </xdr:from>
    <xdr:to>
      <xdr:col>5</xdr:col>
      <xdr:colOff>180223</xdr:colOff>
      <xdr:row>14</xdr:row>
      <xdr:rowOff>139750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34D3C78F-B833-479B-ABAB-A708E607E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301875" y="2563813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13</xdr:row>
      <xdr:rowOff>35719</xdr:rowOff>
    </xdr:from>
    <xdr:to>
      <xdr:col>3</xdr:col>
      <xdr:colOff>196099</xdr:colOff>
      <xdr:row>13</xdr:row>
      <xdr:rowOff>143719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F22DD66C-CF9E-4EDB-8E94-7362107FD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031876" y="2385219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15</xdr:row>
      <xdr:rowOff>35719</xdr:rowOff>
    </xdr:from>
    <xdr:to>
      <xdr:col>5</xdr:col>
      <xdr:colOff>180223</xdr:colOff>
      <xdr:row>15</xdr:row>
      <xdr:rowOff>143719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85C8219B-EE1D-457C-B52C-FC73D97FB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301875" y="275034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17</xdr:row>
      <xdr:rowOff>55562</xdr:rowOff>
    </xdr:from>
    <xdr:to>
      <xdr:col>5</xdr:col>
      <xdr:colOff>180223</xdr:colOff>
      <xdr:row>17</xdr:row>
      <xdr:rowOff>163562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DD41912A-2C1F-4A95-8FAB-8BA35BE2B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301875" y="313531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16</xdr:row>
      <xdr:rowOff>35719</xdr:rowOff>
    </xdr:from>
    <xdr:to>
      <xdr:col>3</xdr:col>
      <xdr:colOff>196099</xdr:colOff>
      <xdr:row>16</xdr:row>
      <xdr:rowOff>143719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0CE42CD0-A8B9-44C7-8D88-A569E6949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31876" y="293290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13</xdr:row>
      <xdr:rowOff>35719</xdr:rowOff>
    </xdr:from>
    <xdr:to>
      <xdr:col>5</xdr:col>
      <xdr:colOff>180223</xdr:colOff>
      <xdr:row>13</xdr:row>
      <xdr:rowOff>143719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52FCC6D4-66C3-4DCB-AAA8-3745D2EB4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301875" y="2385219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22</xdr:row>
      <xdr:rowOff>51594</xdr:rowOff>
    </xdr:from>
    <xdr:to>
      <xdr:col>3</xdr:col>
      <xdr:colOff>196099</xdr:colOff>
      <xdr:row>22</xdr:row>
      <xdr:rowOff>159594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5F21DB9-78C0-43D4-AFE8-648BB28A0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031876" y="402034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22</xdr:row>
      <xdr:rowOff>51594</xdr:rowOff>
    </xdr:from>
    <xdr:to>
      <xdr:col>5</xdr:col>
      <xdr:colOff>180223</xdr:colOff>
      <xdr:row>22</xdr:row>
      <xdr:rowOff>159594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3260EF6D-FC2A-4B0A-8BAC-EAB9F07A2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301875" y="402034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21</xdr:row>
      <xdr:rowOff>39687</xdr:rowOff>
    </xdr:from>
    <xdr:to>
      <xdr:col>3</xdr:col>
      <xdr:colOff>196099</xdr:colOff>
      <xdr:row>21</xdr:row>
      <xdr:rowOff>147687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528CD9D-5E57-44F4-81E8-289AE2C54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031876" y="3825875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21</xdr:row>
      <xdr:rowOff>39687</xdr:rowOff>
    </xdr:from>
    <xdr:to>
      <xdr:col>5</xdr:col>
      <xdr:colOff>180223</xdr:colOff>
      <xdr:row>21</xdr:row>
      <xdr:rowOff>147687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DBD0CB0A-1EE6-4CA7-A185-8D8D11A58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301875" y="3825875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25</xdr:row>
      <xdr:rowOff>43656</xdr:rowOff>
    </xdr:from>
    <xdr:to>
      <xdr:col>5</xdr:col>
      <xdr:colOff>180223</xdr:colOff>
      <xdr:row>25</xdr:row>
      <xdr:rowOff>151656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9D1BD780-CADB-46F4-812B-E94F32F5B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301875" y="456009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24</xdr:row>
      <xdr:rowOff>51593</xdr:rowOff>
    </xdr:from>
    <xdr:to>
      <xdr:col>3</xdr:col>
      <xdr:colOff>196099</xdr:colOff>
      <xdr:row>24</xdr:row>
      <xdr:rowOff>159593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08F2F033-728E-42BA-B192-E9BB96975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031876" y="438546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26</xdr:row>
      <xdr:rowOff>35719</xdr:rowOff>
    </xdr:from>
    <xdr:to>
      <xdr:col>3</xdr:col>
      <xdr:colOff>196099</xdr:colOff>
      <xdr:row>26</xdr:row>
      <xdr:rowOff>143719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3AD51BC2-730E-43E4-855E-B914BAC30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31876" y="4734719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23</xdr:row>
      <xdr:rowOff>39687</xdr:rowOff>
    </xdr:from>
    <xdr:to>
      <xdr:col>5</xdr:col>
      <xdr:colOff>180223</xdr:colOff>
      <xdr:row>23</xdr:row>
      <xdr:rowOff>147687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94F091C8-4E95-435C-AE71-2686456D0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301875" y="419100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24</xdr:row>
      <xdr:rowOff>51593</xdr:rowOff>
    </xdr:from>
    <xdr:to>
      <xdr:col>5</xdr:col>
      <xdr:colOff>180223</xdr:colOff>
      <xdr:row>24</xdr:row>
      <xdr:rowOff>159593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516B8919-D651-4E2F-9426-654324A97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301875" y="438546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26</xdr:row>
      <xdr:rowOff>35719</xdr:rowOff>
    </xdr:from>
    <xdr:to>
      <xdr:col>5</xdr:col>
      <xdr:colOff>180223</xdr:colOff>
      <xdr:row>26</xdr:row>
      <xdr:rowOff>143719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10A35A20-D1B3-4614-9D05-23A6B1716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301875" y="4734719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23</xdr:row>
      <xdr:rowOff>39687</xdr:rowOff>
    </xdr:from>
    <xdr:to>
      <xdr:col>3</xdr:col>
      <xdr:colOff>196099</xdr:colOff>
      <xdr:row>23</xdr:row>
      <xdr:rowOff>147687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45E2E09D-0571-439B-B054-83FDBA2B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031876" y="419100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25</xdr:row>
      <xdr:rowOff>43656</xdr:rowOff>
    </xdr:from>
    <xdr:to>
      <xdr:col>3</xdr:col>
      <xdr:colOff>196099</xdr:colOff>
      <xdr:row>25</xdr:row>
      <xdr:rowOff>151656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7F9BC433-4AD9-4FC8-96FD-C2A984714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031876" y="456009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30</xdr:row>
      <xdr:rowOff>43657</xdr:rowOff>
    </xdr:from>
    <xdr:to>
      <xdr:col>3</xdr:col>
      <xdr:colOff>196099</xdr:colOff>
      <xdr:row>30</xdr:row>
      <xdr:rowOff>151657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C84EACB7-6515-4B80-98D3-5E22990DF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031876" y="547290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31</xdr:row>
      <xdr:rowOff>47625</xdr:rowOff>
    </xdr:from>
    <xdr:to>
      <xdr:col>3</xdr:col>
      <xdr:colOff>196099</xdr:colOff>
      <xdr:row>31</xdr:row>
      <xdr:rowOff>155625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8250D3-7DAA-4534-9883-B9EBC4AA9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031876" y="565943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31</xdr:row>
      <xdr:rowOff>47625</xdr:rowOff>
    </xdr:from>
    <xdr:to>
      <xdr:col>5</xdr:col>
      <xdr:colOff>180223</xdr:colOff>
      <xdr:row>31</xdr:row>
      <xdr:rowOff>155625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3822F043-FF20-4AB4-9580-932712C10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301875" y="565943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30</xdr:row>
      <xdr:rowOff>43657</xdr:rowOff>
    </xdr:from>
    <xdr:to>
      <xdr:col>5</xdr:col>
      <xdr:colOff>180223</xdr:colOff>
      <xdr:row>30</xdr:row>
      <xdr:rowOff>151657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9F4591F-7EE7-4997-98FD-196468E8F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301875" y="547290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33</xdr:row>
      <xdr:rowOff>47625</xdr:rowOff>
    </xdr:from>
    <xdr:to>
      <xdr:col>3</xdr:col>
      <xdr:colOff>196099</xdr:colOff>
      <xdr:row>33</xdr:row>
      <xdr:rowOff>155625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758E6953-5EF9-4197-A425-2E5A56897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031876" y="6024563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35</xdr:row>
      <xdr:rowOff>35718</xdr:rowOff>
    </xdr:from>
    <xdr:to>
      <xdr:col>5</xdr:col>
      <xdr:colOff>180223</xdr:colOff>
      <xdr:row>35</xdr:row>
      <xdr:rowOff>143718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78085305-D026-43F6-82AA-BDF7E2F9E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301875" y="6377781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33</xdr:row>
      <xdr:rowOff>47625</xdr:rowOff>
    </xdr:from>
    <xdr:to>
      <xdr:col>5</xdr:col>
      <xdr:colOff>180223</xdr:colOff>
      <xdr:row>33</xdr:row>
      <xdr:rowOff>155625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43EEABDC-4F8A-4134-9741-3F0F0C9CF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301875" y="6024563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34</xdr:row>
      <xdr:rowOff>51594</xdr:rowOff>
    </xdr:from>
    <xdr:to>
      <xdr:col>5</xdr:col>
      <xdr:colOff>180223</xdr:colOff>
      <xdr:row>34</xdr:row>
      <xdr:rowOff>159594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523B9F3C-1EC8-48B8-B54A-0260653F1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301875" y="621109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32</xdr:row>
      <xdr:rowOff>43657</xdr:rowOff>
    </xdr:from>
    <xdr:to>
      <xdr:col>3</xdr:col>
      <xdr:colOff>196099</xdr:colOff>
      <xdr:row>32</xdr:row>
      <xdr:rowOff>151657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D60B7769-F8E7-460B-9EEE-FCFC21710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031876" y="583803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35</xdr:row>
      <xdr:rowOff>35718</xdr:rowOff>
    </xdr:from>
    <xdr:to>
      <xdr:col>3</xdr:col>
      <xdr:colOff>196099</xdr:colOff>
      <xdr:row>35</xdr:row>
      <xdr:rowOff>143718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FC4DF3DB-6650-4E7D-AE96-540F98D5E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031876" y="6377781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32</xdr:row>
      <xdr:rowOff>43657</xdr:rowOff>
    </xdr:from>
    <xdr:to>
      <xdr:col>5</xdr:col>
      <xdr:colOff>180223</xdr:colOff>
      <xdr:row>32</xdr:row>
      <xdr:rowOff>151657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9C7FD586-0BA1-49F9-9559-F2EBF2F21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301875" y="583803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34</xdr:row>
      <xdr:rowOff>51594</xdr:rowOff>
    </xdr:from>
    <xdr:to>
      <xdr:col>3</xdr:col>
      <xdr:colOff>196099</xdr:colOff>
      <xdr:row>34</xdr:row>
      <xdr:rowOff>159594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65462F14-2EC9-4DCA-95E9-4A91CEC1D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031876" y="621109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39</xdr:row>
      <xdr:rowOff>39686</xdr:rowOff>
    </xdr:from>
    <xdr:to>
      <xdr:col>3</xdr:col>
      <xdr:colOff>196099</xdr:colOff>
      <xdr:row>39</xdr:row>
      <xdr:rowOff>147686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20A62179-AD12-4AC1-939E-260E33590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031876" y="7111999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40</xdr:row>
      <xdr:rowOff>79375</xdr:rowOff>
    </xdr:from>
    <xdr:to>
      <xdr:col>3</xdr:col>
      <xdr:colOff>196099</xdr:colOff>
      <xdr:row>41</xdr:row>
      <xdr:rowOff>4812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F572F6B2-13F9-4E91-B9F5-EA1837F37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031876" y="733425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40</xdr:row>
      <xdr:rowOff>47625</xdr:rowOff>
    </xdr:from>
    <xdr:to>
      <xdr:col>5</xdr:col>
      <xdr:colOff>180223</xdr:colOff>
      <xdr:row>40</xdr:row>
      <xdr:rowOff>155625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30B02EA-2983-4696-B89A-57965CAA5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301875" y="730250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39</xdr:row>
      <xdr:rowOff>39686</xdr:rowOff>
    </xdr:from>
    <xdr:to>
      <xdr:col>5</xdr:col>
      <xdr:colOff>180223</xdr:colOff>
      <xdr:row>39</xdr:row>
      <xdr:rowOff>147686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4B4E58B-D89A-4709-AE6E-94781D498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301875" y="7111999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43</xdr:row>
      <xdr:rowOff>55562</xdr:rowOff>
    </xdr:from>
    <xdr:to>
      <xdr:col>5</xdr:col>
      <xdr:colOff>180223</xdr:colOff>
      <xdr:row>43</xdr:row>
      <xdr:rowOff>163562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267EBD5B-5266-40BB-B10F-7655A6C49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301875" y="7858125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42</xdr:row>
      <xdr:rowOff>55562</xdr:rowOff>
    </xdr:from>
    <xdr:to>
      <xdr:col>3</xdr:col>
      <xdr:colOff>196099</xdr:colOff>
      <xdr:row>42</xdr:row>
      <xdr:rowOff>163562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92C7EAF2-416B-44D2-9651-CB5368D33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031876" y="767556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42</xdr:row>
      <xdr:rowOff>55562</xdr:rowOff>
    </xdr:from>
    <xdr:to>
      <xdr:col>5</xdr:col>
      <xdr:colOff>180223</xdr:colOff>
      <xdr:row>42</xdr:row>
      <xdr:rowOff>163562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6094DFF4-335D-4649-AA58-097E2C030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301875" y="767556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44</xdr:row>
      <xdr:rowOff>55563</xdr:rowOff>
    </xdr:from>
    <xdr:to>
      <xdr:col>5</xdr:col>
      <xdr:colOff>180223</xdr:colOff>
      <xdr:row>44</xdr:row>
      <xdr:rowOff>163563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A32B171E-3DD3-4101-B089-23202F2F3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301875" y="804068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41</xdr:row>
      <xdr:rowOff>39687</xdr:rowOff>
    </xdr:from>
    <xdr:to>
      <xdr:col>3</xdr:col>
      <xdr:colOff>196099</xdr:colOff>
      <xdr:row>41</xdr:row>
      <xdr:rowOff>147687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D5316B69-1BB7-4845-ACD2-654158B99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31876" y="7477125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43</xdr:row>
      <xdr:rowOff>55562</xdr:rowOff>
    </xdr:from>
    <xdr:to>
      <xdr:col>3</xdr:col>
      <xdr:colOff>196099</xdr:colOff>
      <xdr:row>43</xdr:row>
      <xdr:rowOff>163562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DE14AC3A-13D6-4E16-A96F-7DE49DC36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31876" y="7858125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41</xdr:row>
      <xdr:rowOff>39687</xdr:rowOff>
    </xdr:from>
    <xdr:to>
      <xdr:col>5</xdr:col>
      <xdr:colOff>180223</xdr:colOff>
      <xdr:row>41</xdr:row>
      <xdr:rowOff>147687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71CB8BE5-2244-4EA4-AF0B-DFD735AB2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301875" y="7477125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44</xdr:row>
      <xdr:rowOff>55563</xdr:rowOff>
    </xdr:from>
    <xdr:to>
      <xdr:col>3</xdr:col>
      <xdr:colOff>196099</xdr:colOff>
      <xdr:row>44</xdr:row>
      <xdr:rowOff>163563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91EDB47F-8883-4241-BB96-CC70DAFF6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031876" y="804068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48</xdr:row>
      <xdr:rowOff>39688</xdr:rowOff>
    </xdr:from>
    <xdr:to>
      <xdr:col>3</xdr:col>
      <xdr:colOff>196099</xdr:colOff>
      <xdr:row>48</xdr:row>
      <xdr:rowOff>147688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FEBA309C-86A0-4DF1-BE7A-8C4DEC560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031876" y="8755063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48</xdr:row>
      <xdr:rowOff>39688</xdr:rowOff>
    </xdr:from>
    <xdr:to>
      <xdr:col>5</xdr:col>
      <xdr:colOff>180223</xdr:colOff>
      <xdr:row>48</xdr:row>
      <xdr:rowOff>147688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5569D0C6-447A-4CA4-8AC2-7CD615936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301875" y="8755063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50</xdr:row>
      <xdr:rowOff>39687</xdr:rowOff>
    </xdr:from>
    <xdr:to>
      <xdr:col>5</xdr:col>
      <xdr:colOff>180223</xdr:colOff>
      <xdr:row>50</xdr:row>
      <xdr:rowOff>147687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5B5787D-2FA0-483E-BEDB-03BA2C8A3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301875" y="912018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49</xdr:row>
      <xdr:rowOff>47624</xdr:rowOff>
    </xdr:from>
    <xdr:to>
      <xdr:col>5</xdr:col>
      <xdr:colOff>180223</xdr:colOff>
      <xdr:row>49</xdr:row>
      <xdr:rowOff>155624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59A63104-121E-4610-9FE8-58212E647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301875" y="894556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52</xdr:row>
      <xdr:rowOff>31750</xdr:rowOff>
    </xdr:from>
    <xdr:to>
      <xdr:col>5</xdr:col>
      <xdr:colOff>180223</xdr:colOff>
      <xdr:row>52</xdr:row>
      <xdr:rowOff>139750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F4CFBA80-7CB5-4EA6-99CF-27D52B53C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301875" y="9477375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50</xdr:row>
      <xdr:rowOff>39687</xdr:rowOff>
    </xdr:from>
    <xdr:to>
      <xdr:col>3</xdr:col>
      <xdr:colOff>196099</xdr:colOff>
      <xdr:row>50</xdr:row>
      <xdr:rowOff>147687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C7ADD4E0-8BA2-4D21-8345-2D369EF2A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031876" y="912018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51</xdr:row>
      <xdr:rowOff>39688</xdr:rowOff>
    </xdr:from>
    <xdr:to>
      <xdr:col>5</xdr:col>
      <xdr:colOff>180223</xdr:colOff>
      <xdr:row>51</xdr:row>
      <xdr:rowOff>147688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E513876F-6853-4D31-97A0-3E61797C2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301875" y="9302751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53</xdr:row>
      <xdr:rowOff>31749</xdr:rowOff>
    </xdr:from>
    <xdr:to>
      <xdr:col>3</xdr:col>
      <xdr:colOff>196099</xdr:colOff>
      <xdr:row>53</xdr:row>
      <xdr:rowOff>139749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9AE179C1-58FE-4663-A3DA-73FAF4062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031876" y="965993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49</xdr:row>
      <xdr:rowOff>47624</xdr:rowOff>
    </xdr:from>
    <xdr:to>
      <xdr:col>3</xdr:col>
      <xdr:colOff>196099</xdr:colOff>
      <xdr:row>49</xdr:row>
      <xdr:rowOff>155624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1C1C7990-22D6-43E1-949B-EF3811E2C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031876" y="894556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53</xdr:row>
      <xdr:rowOff>31749</xdr:rowOff>
    </xdr:from>
    <xdr:to>
      <xdr:col>5</xdr:col>
      <xdr:colOff>180223</xdr:colOff>
      <xdr:row>53</xdr:row>
      <xdr:rowOff>139749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4A83800C-2723-459D-A70F-9323023E0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301875" y="965993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51</xdr:row>
      <xdr:rowOff>39688</xdr:rowOff>
    </xdr:from>
    <xdr:to>
      <xdr:col>3</xdr:col>
      <xdr:colOff>196099</xdr:colOff>
      <xdr:row>51</xdr:row>
      <xdr:rowOff>147688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FF129E17-1885-4D81-A43C-E067B36AE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31876" y="9302751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52</xdr:row>
      <xdr:rowOff>31750</xdr:rowOff>
    </xdr:from>
    <xdr:to>
      <xdr:col>3</xdr:col>
      <xdr:colOff>196099</xdr:colOff>
      <xdr:row>52</xdr:row>
      <xdr:rowOff>139750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C6D7B907-A617-4B0F-9D6F-AF03DF20C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31876" y="9477375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58</xdr:row>
      <xdr:rowOff>47625</xdr:rowOff>
    </xdr:from>
    <xdr:to>
      <xdr:col>3</xdr:col>
      <xdr:colOff>196099</xdr:colOff>
      <xdr:row>58</xdr:row>
      <xdr:rowOff>155625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6C98EC65-7B8C-4B6F-AAF6-6D8BD0FBC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031876" y="10588625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60</xdr:row>
      <xdr:rowOff>47625</xdr:rowOff>
    </xdr:from>
    <xdr:to>
      <xdr:col>5</xdr:col>
      <xdr:colOff>180223</xdr:colOff>
      <xdr:row>60</xdr:row>
      <xdr:rowOff>155625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8BBB986F-4E1A-4A68-8A3F-D28A77DFF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301875" y="1095375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57</xdr:row>
      <xdr:rowOff>39687</xdr:rowOff>
    </xdr:from>
    <xdr:to>
      <xdr:col>5</xdr:col>
      <xdr:colOff>180223</xdr:colOff>
      <xdr:row>57</xdr:row>
      <xdr:rowOff>147687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945CE623-ED08-4A06-8C24-41DA28BE4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301875" y="10398125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60</xdr:row>
      <xdr:rowOff>47625</xdr:rowOff>
    </xdr:from>
    <xdr:to>
      <xdr:col>3</xdr:col>
      <xdr:colOff>196099</xdr:colOff>
      <xdr:row>60</xdr:row>
      <xdr:rowOff>155625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8ABA4C7B-B4E5-4A93-A242-1FDD24030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031876" y="1095375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62</xdr:row>
      <xdr:rowOff>43656</xdr:rowOff>
    </xdr:from>
    <xdr:to>
      <xdr:col>5</xdr:col>
      <xdr:colOff>180223</xdr:colOff>
      <xdr:row>62</xdr:row>
      <xdr:rowOff>151656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9667EE24-EC93-48E2-8667-80CEC7ADC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301875" y="11314906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61</xdr:row>
      <xdr:rowOff>47624</xdr:rowOff>
    </xdr:from>
    <xdr:to>
      <xdr:col>3</xdr:col>
      <xdr:colOff>196099</xdr:colOff>
      <xdr:row>61</xdr:row>
      <xdr:rowOff>155624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1BCC3E15-8BE6-418B-911D-3FB011037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031876" y="1113631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58</xdr:row>
      <xdr:rowOff>47625</xdr:rowOff>
    </xdr:from>
    <xdr:to>
      <xdr:col>5</xdr:col>
      <xdr:colOff>180223</xdr:colOff>
      <xdr:row>58</xdr:row>
      <xdr:rowOff>155625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9874EB9E-0F21-4128-B246-CF5241481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301875" y="10588625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59</xdr:row>
      <xdr:rowOff>43655</xdr:rowOff>
    </xdr:from>
    <xdr:to>
      <xdr:col>5</xdr:col>
      <xdr:colOff>180223</xdr:colOff>
      <xdr:row>59</xdr:row>
      <xdr:rowOff>151655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4519100F-C954-44E0-AD2C-74221FA41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301875" y="1076721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57</xdr:row>
      <xdr:rowOff>39687</xdr:rowOff>
    </xdr:from>
    <xdr:to>
      <xdr:col>3</xdr:col>
      <xdr:colOff>196099</xdr:colOff>
      <xdr:row>57</xdr:row>
      <xdr:rowOff>147687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CE9A5FED-D08C-47C8-956A-72FC5A8E0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031876" y="10398125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61</xdr:row>
      <xdr:rowOff>47624</xdr:rowOff>
    </xdr:from>
    <xdr:to>
      <xdr:col>5</xdr:col>
      <xdr:colOff>180223</xdr:colOff>
      <xdr:row>61</xdr:row>
      <xdr:rowOff>155624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62AAE837-1FF9-45C7-BB1B-6030E3B31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301875" y="1113631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59</xdr:row>
      <xdr:rowOff>43655</xdr:rowOff>
    </xdr:from>
    <xdr:to>
      <xdr:col>3</xdr:col>
      <xdr:colOff>196099</xdr:colOff>
      <xdr:row>59</xdr:row>
      <xdr:rowOff>151655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03806F2C-96B0-4BF5-B6DD-64EA78A48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031876" y="1076721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62</xdr:row>
      <xdr:rowOff>43656</xdr:rowOff>
    </xdr:from>
    <xdr:to>
      <xdr:col>3</xdr:col>
      <xdr:colOff>196099</xdr:colOff>
      <xdr:row>62</xdr:row>
      <xdr:rowOff>151656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DA0DF98E-11FC-4A3D-B593-A432E27F1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031876" y="11314906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67</xdr:row>
      <xdr:rowOff>39687</xdr:rowOff>
    </xdr:from>
    <xdr:to>
      <xdr:col>3</xdr:col>
      <xdr:colOff>196099</xdr:colOff>
      <xdr:row>67</xdr:row>
      <xdr:rowOff>147687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DA63771E-5E2A-49A0-8267-DA69A7A3F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031876" y="1222375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67</xdr:row>
      <xdr:rowOff>39687</xdr:rowOff>
    </xdr:from>
    <xdr:to>
      <xdr:col>5</xdr:col>
      <xdr:colOff>180223</xdr:colOff>
      <xdr:row>67</xdr:row>
      <xdr:rowOff>147687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0EA37FE1-AD84-4DE5-A50F-91A6A7335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2301875" y="1222375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66</xdr:row>
      <xdr:rowOff>39688</xdr:rowOff>
    </xdr:from>
    <xdr:to>
      <xdr:col>3</xdr:col>
      <xdr:colOff>196099</xdr:colOff>
      <xdr:row>66</xdr:row>
      <xdr:rowOff>147688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F81EE145-8543-46FF-BEB2-C984F903A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031876" y="1204118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66</xdr:row>
      <xdr:rowOff>39688</xdr:rowOff>
    </xdr:from>
    <xdr:to>
      <xdr:col>5</xdr:col>
      <xdr:colOff>180223</xdr:colOff>
      <xdr:row>66</xdr:row>
      <xdr:rowOff>147688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A9F12D8F-35AC-45F2-A726-ABE17B56E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2301875" y="1204118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69</xdr:row>
      <xdr:rowOff>47624</xdr:rowOff>
    </xdr:from>
    <xdr:to>
      <xdr:col>3</xdr:col>
      <xdr:colOff>196099</xdr:colOff>
      <xdr:row>69</xdr:row>
      <xdr:rowOff>155624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5D43B781-01E8-441D-B432-996E4B550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031876" y="1259681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71</xdr:row>
      <xdr:rowOff>39687</xdr:rowOff>
    </xdr:from>
    <xdr:to>
      <xdr:col>5</xdr:col>
      <xdr:colOff>180223</xdr:colOff>
      <xdr:row>71</xdr:row>
      <xdr:rowOff>147687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0392C230-6150-4870-8D50-DB146DDD6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301875" y="1295400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68</xdr:row>
      <xdr:rowOff>39688</xdr:rowOff>
    </xdr:from>
    <xdr:to>
      <xdr:col>5</xdr:col>
      <xdr:colOff>180223</xdr:colOff>
      <xdr:row>68</xdr:row>
      <xdr:rowOff>147688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FC694B8F-D0E3-4BA1-9599-480A0F87B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2301875" y="12406313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69</xdr:row>
      <xdr:rowOff>47624</xdr:rowOff>
    </xdr:from>
    <xdr:to>
      <xdr:col>5</xdr:col>
      <xdr:colOff>180223</xdr:colOff>
      <xdr:row>69</xdr:row>
      <xdr:rowOff>155624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B7DCACBD-556D-4F1E-87D3-75C942DEE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2301875" y="1259681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70</xdr:row>
      <xdr:rowOff>51594</xdr:rowOff>
    </xdr:from>
    <xdr:to>
      <xdr:col>5</xdr:col>
      <xdr:colOff>180223</xdr:colOff>
      <xdr:row>70</xdr:row>
      <xdr:rowOff>159594</xdr:rowOff>
    </xdr:to>
    <xdr:pic>
      <xdr:nvPicPr>
        <xdr:cNvPr id="323" name="Picture 322">
          <a:extLst>
            <a:ext uri="{FF2B5EF4-FFF2-40B4-BE49-F238E27FC236}">
              <a16:creationId xmlns:a16="http://schemas.microsoft.com/office/drawing/2014/main" id="{E6677CF6-27DE-45EC-A37C-9374BA500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2301875" y="1278334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68</xdr:row>
      <xdr:rowOff>39688</xdr:rowOff>
    </xdr:from>
    <xdr:to>
      <xdr:col>3</xdr:col>
      <xdr:colOff>196099</xdr:colOff>
      <xdr:row>68</xdr:row>
      <xdr:rowOff>147688</xdr:rowOff>
    </xdr:to>
    <xdr:pic>
      <xdr:nvPicPr>
        <xdr:cNvPr id="324" name="Picture 323">
          <a:extLst>
            <a:ext uri="{FF2B5EF4-FFF2-40B4-BE49-F238E27FC236}">
              <a16:creationId xmlns:a16="http://schemas.microsoft.com/office/drawing/2014/main" id="{1DC04A63-0FA0-46DF-9D5A-1D19BF034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031876" y="12406313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71</xdr:row>
      <xdr:rowOff>39687</xdr:rowOff>
    </xdr:from>
    <xdr:to>
      <xdr:col>3</xdr:col>
      <xdr:colOff>196099</xdr:colOff>
      <xdr:row>71</xdr:row>
      <xdr:rowOff>147687</xdr:rowOff>
    </xdr:to>
    <xdr:pic>
      <xdr:nvPicPr>
        <xdr:cNvPr id="325" name="Picture 324">
          <a:extLst>
            <a:ext uri="{FF2B5EF4-FFF2-40B4-BE49-F238E27FC236}">
              <a16:creationId xmlns:a16="http://schemas.microsoft.com/office/drawing/2014/main" id="{EC9B81C1-9881-4BFC-9BCB-B5632C218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031876" y="1295400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70</xdr:row>
      <xdr:rowOff>51594</xdr:rowOff>
    </xdr:from>
    <xdr:to>
      <xdr:col>3</xdr:col>
      <xdr:colOff>196099</xdr:colOff>
      <xdr:row>70</xdr:row>
      <xdr:rowOff>159594</xdr:rowOff>
    </xdr:to>
    <xdr:pic>
      <xdr:nvPicPr>
        <xdr:cNvPr id="326" name="Picture 325">
          <a:extLst>
            <a:ext uri="{FF2B5EF4-FFF2-40B4-BE49-F238E27FC236}">
              <a16:creationId xmlns:a16="http://schemas.microsoft.com/office/drawing/2014/main" id="{9C347C08-1912-4EF4-B4BA-E1812923F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031876" y="12783344"/>
          <a:ext cx="164348" cy="108000"/>
        </a:xfrm>
        <a:prstGeom prst="rect">
          <a:avLst/>
        </a:prstGeom>
      </xdr:spPr>
    </xdr:pic>
    <xdr:clientData/>
  </xdr:twoCellAnchor>
  <xdr:twoCellAnchor>
    <xdr:from>
      <xdr:col>19</xdr:col>
      <xdr:colOff>245490</xdr:colOff>
      <xdr:row>74</xdr:row>
      <xdr:rowOff>19639</xdr:rowOff>
    </xdr:from>
    <xdr:to>
      <xdr:col>21</xdr:col>
      <xdr:colOff>500800</xdr:colOff>
      <xdr:row>77</xdr:row>
      <xdr:rowOff>58917</xdr:rowOff>
    </xdr:to>
    <xdr:sp macro="[0]!Reset_teams_formula" textlink="">
      <xdr:nvSpPr>
        <xdr:cNvPr id="105" name="Rectangle 104">
          <a:extLst>
            <a:ext uri="{FF2B5EF4-FFF2-40B4-BE49-F238E27FC236}">
              <a16:creationId xmlns:a16="http://schemas.microsoft.com/office/drawing/2014/main" id="{6FA535F5-540F-4D65-B189-67B7ADD0F23E}"/>
            </a:ext>
          </a:extLst>
        </xdr:cNvPr>
        <xdr:cNvSpPr/>
      </xdr:nvSpPr>
      <xdr:spPr>
        <a:xfrm>
          <a:off x="10271289" y="13060051"/>
          <a:ext cx="1148892" cy="569536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/>
            <a:t>Återställ</a:t>
          </a:r>
        </a:p>
        <a:p>
          <a:pPr algn="ctr"/>
          <a:r>
            <a:rPr lang="sv-SE" sz="1100"/>
            <a:t> åttondelsfinaler</a:t>
          </a:r>
        </a:p>
      </xdr:txBody>
    </xdr:sp>
    <xdr:clientData/>
  </xdr:twoCellAnchor>
  <xdr:oneCellAnchor>
    <xdr:from>
      <xdr:col>21</xdr:col>
      <xdr:colOff>530258</xdr:colOff>
      <xdr:row>86</xdr:row>
      <xdr:rowOff>29459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C947F3E3-6474-44A1-9EA1-7C35315EABA5}"/>
            </a:ext>
          </a:extLst>
        </xdr:cNvPr>
        <xdr:cNvSpPr txBox="1"/>
      </xdr:nvSpPr>
      <xdr:spPr>
        <a:xfrm>
          <a:off x="11449639" y="151909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v-SE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31751</xdr:colOff>
      <xdr:row>3</xdr:row>
      <xdr:rowOff>47626</xdr:rowOff>
    </xdr:from>
    <xdr:to>
      <xdr:col>3</xdr:col>
      <xdr:colOff>196099</xdr:colOff>
      <xdr:row>3</xdr:row>
      <xdr:rowOff>155626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E6BF0B98-2EB9-47F6-9700-C0AD05D45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1876" y="571501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3</xdr:row>
      <xdr:rowOff>47626</xdr:rowOff>
    </xdr:from>
    <xdr:to>
      <xdr:col>5</xdr:col>
      <xdr:colOff>180223</xdr:colOff>
      <xdr:row>3</xdr:row>
      <xdr:rowOff>155626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120AF963-82E2-4139-B358-6AF05771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1875" y="571501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4</xdr:row>
      <xdr:rowOff>39688</xdr:rowOff>
    </xdr:from>
    <xdr:to>
      <xdr:col>3</xdr:col>
      <xdr:colOff>196099</xdr:colOff>
      <xdr:row>4</xdr:row>
      <xdr:rowOff>147688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215C61A2-DC25-4405-951C-75E911177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1876" y="74453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4</xdr:row>
      <xdr:rowOff>39688</xdr:rowOff>
    </xdr:from>
    <xdr:to>
      <xdr:col>5</xdr:col>
      <xdr:colOff>180223</xdr:colOff>
      <xdr:row>4</xdr:row>
      <xdr:rowOff>147688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833B5092-8161-483F-AEE3-9056AD20F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01875" y="74453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5</xdr:row>
      <xdr:rowOff>43657</xdr:rowOff>
    </xdr:from>
    <xdr:to>
      <xdr:col>3</xdr:col>
      <xdr:colOff>196099</xdr:colOff>
      <xdr:row>5</xdr:row>
      <xdr:rowOff>151657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71BE8731-984C-4769-9C56-04CFAEE46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1876" y="92948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8</xdr:row>
      <xdr:rowOff>47626</xdr:rowOff>
    </xdr:from>
    <xdr:to>
      <xdr:col>5</xdr:col>
      <xdr:colOff>180223</xdr:colOff>
      <xdr:row>8</xdr:row>
      <xdr:rowOff>155626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F91A931A-85A7-4CA8-8F2B-84FAB33EC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875" y="1476376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6</xdr:row>
      <xdr:rowOff>39688</xdr:rowOff>
    </xdr:from>
    <xdr:to>
      <xdr:col>5</xdr:col>
      <xdr:colOff>180223</xdr:colOff>
      <xdr:row>6</xdr:row>
      <xdr:rowOff>147688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999476D1-5315-4BFF-988A-464749353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1875" y="110648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7</xdr:row>
      <xdr:rowOff>43657</xdr:rowOff>
    </xdr:from>
    <xdr:to>
      <xdr:col>3</xdr:col>
      <xdr:colOff>196099</xdr:colOff>
      <xdr:row>7</xdr:row>
      <xdr:rowOff>151657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32392525-EF28-4EFA-B37F-0BC10AD31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1876" y="129143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5</xdr:row>
      <xdr:rowOff>43657</xdr:rowOff>
    </xdr:from>
    <xdr:to>
      <xdr:col>5</xdr:col>
      <xdr:colOff>180223</xdr:colOff>
      <xdr:row>5</xdr:row>
      <xdr:rowOff>151657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FEDFAFC4-871C-4F6B-BF7C-4BBC78EB7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01875" y="92948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7</xdr:row>
      <xdr:rowOff>43657</xdr:rowOff>
    </xdr:from>
    <xdr:to>
      <xdr:col>5</xdr:col>
      <xdr:colOff>180223</xdr:colOff>
      <xdr:row>7</xdr:row>
      <xdr:rowOff>151657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608AE8B5-AB34-4706-8006-C32AEC2CB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01875" y="129143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6</xdr:row>
      <xdr:rowOff>39688</xdr:rowOff>
    </xdr:from>
    <xdr:to>
      <xdr:col>3</xdr:col>
      <xdr:colOff>196099</xdr:colOff>
      <xdr:row>6</xdr:row>
      <xdr:rowOff>147688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D82EF9D9-96A7-4E5C-B018-42B165C18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1876" y="110648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8</xdr:row>
      <xdr:rowOff>47626</xdr:rowOff>
    </xdr:from>
    <xdr:to>
      <xdr:col>3</xdr:col>
      <xdr:colOff>196099</xdr:colOff>
      <xdr:row>8</xdr:row>
      <xdr:rowOff>155626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A42ECD41-24F1-47C6-8454-A0795DD44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1876" y="1476376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12</xdr:row>
      <xdr:rowOff>47625</xdr:rowOff>
    </xdr:from>
    <xdr:to>
      <xdr:col>3</xdr:col>
      <xdr:colOff>196099</xdr:colOff>
      <xdr:row>12</xdr:row>
      <xdr:rowOff>155625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058F8E84-7CB1-4A2C-A863-A5A90B657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31876" y="2200275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12</xdr:row>
      <xdr:rowOff>47625</xdr:rowOff>
    </xdr:from>
    <xdr:to>
      <xdr:col>5</xdr:col>
      <xdr:colOff>180223</xdr:colOff>
      <xdr:row>12</xdr:row>
      <xdr:rowOff>155625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5B91AB9D-2389-4308-9944-5897E6CC2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01875" y="2200275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14</xdr:row>
      <xdr:rowOff>31750</xdr:rowOff>
    </xdr:from>
    <xdr:to>
      <xdr:col>3</xdr:col>
      <xdr:colOff>196099</xdr:colOff>
      <xdr:row>14</xdr:row>
      <xdr:rowOff>139750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AC01681B-67B3-41B1-B23D-7DF6FDE7A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31876" y="254635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16</xdr:row>
      <xdr:rowOff>35719</xdr:rowOff>
    </xdr:from>
    <xdr:to>
      <xdr:col>5</xdr:col>
      <xdr:colOff>180223</xdr:colOff>
      <xdr:row>16</xdr:row>
      <xdr:rowOff>143719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9866FECA-5257-483C-8457-740E628C3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01875" y="2912269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15</xdr:row>
      <xdr:rowOff>35719</xdr:rowOff>
    </xdr:from>
    <xdr:to>
      <xdr:col>3</xdr:col>
      <xdr:colOff>196099</xdr:colOff>
      <xdr:row>15</xdr:row>
      <xdr:rowOff>143719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6A30E312-5E68-45BF-ABB0-811115391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31876" y="273129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17</xdr:row>
      <xdr:rowOff>55562</xdr:rowOff>
    </xdr:from>
    <xdr:to>
      <xdr:col>3</xdr:col>
      <xdr:colOff>196099</xdr:colOff>
      <xdr:row>17</xdr:row>
      <xdr:rowOff>163562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C8EAE0EF-FCA7-43A6-B10A-A746D682F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31876" y="311308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14</xdr:row>
      <xdr:rowOff>31750</xdr:rowOff>
    </xdr:from>
    <xdr:to>
      <xdr:col>5</xdr:col>
      <xdr:colOff>180223</xdr:colOff>
      <xdr:row>14</xdr:row>
      <xdr:rowOff>139750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7A18D56A-759D-46BF-8292-7812E29C9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01875" y="254635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13</xdr:row>
      <xdr:rowOff>35719</xdr:rowOff>
    </xdr:from>
    <xdr:to>
      <xdr:col>3</xdr:col>
      <xdr:colOff>196099</xdr:colOff>
      <xdr:row>13</xdr:row>
      <xdr:rowOff>143719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ABD16AC6-025A-440D-85B7-0334CD233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31876" y="236934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15</xdr:row>
      <xdr:rowOff>35719</xdr:rowOff>
    </xdr:from>
    <xdr:to>
      <xdr:col>5</xdr:col>
      <xdr:colOff>180223</xdr:colOff>
      <xdr:row>15</xdr:row>
      <xdr:rowOff>143719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C2D5FE11-C08E-4101-8538-9994D3FE5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301875" y="273129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17</xdr:row>
      <xdr:rowOff>55562</xdr:rowOff>
    </xdr:from>
    <xdr:to>
      <xdr:col>5</xdr:col>
      <xdr:colOff>180223</xdr:colOff>
      <xdr:row>17</xdr:row>
      <xdr:rowOff>163562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E89D490D-8BAC-4C50-B86E-52DFB466D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301875" y="311308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16</xdr:row>
      <xdr:rowOff>35719</xdr:rowOff>
    </xdr:from>
    <xdr:to>
      <xdr:col>3</xdr:col>
      <xdr:colOff>196099</xdr:colOff>
      <xdr:row>16</xdr:row>
      <xdr:rowOff>143719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47619F87-9626-42F1-A0AC-EB297AC40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31876" y="2912269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13</xdr:row>
      <xdr:rowOff>35719</xdr:rowOff>
    </xdr:from>
    <xdr:to>
      <xdr:col>5</xdr:col>
      <xdr:colOff>180223</xdr:colOff>
      <xdr:row>13</xdr:row>
      <xdr:rowOff>143719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B03B8DB7-92A7-4F3F-8865-0C759D54F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301875" y="236934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22</xdr:row>
      <xdr:rowOff>51594</xdr:rowOff>
    </xdr:from>
    <xdr:to>
      <xdr:col>3</xdr:col>
      <xdr:colOff>196099</xdr:colOff>
      <xdr:row>22</xdr:row>
      <xdr:rowOff>159594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EA4309A2-9EF9-4E5D-8B1C-AD823DD10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31876" y="399494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22</xdr:row>
      <xdr:rowOff>51594</xdr:rowOff>
    </xdr:from>
    <xdr:to>
      <xdr:col>5</xdr:col>
      <xdr:colOff>180223</xdr:colOff>
      <xdr:row>22</xdr:row>
      <xdr:rowOff>159594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95E57425-EDDF-4F58-A0EA-939A7E726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301875" y="399494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21</xdr:row>
      <xdr:rowOff>39687</xdr:rowOff>
    </xdr:from>
    <xdr:to>
      <xdr:col>3</xdr:col>
      <xdr:colOff>196099</xdr:colOff>
      <xdr:row>21</xdr:row>
      <xdr:rowOff>147687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6A83B36C-82B6-4672-A637-37ED6EB5F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031876" y="380206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21</xdr:row>
      <xdr:rowOff>39687</xdr:rowOff>
    </xdr:from>
    <xdr:to>
      <xdr:col>5</xdr:col>
      <xdr:colOff>180223</xdr:colOff>
      <xdr:row>21</xdr:row>
      <xdr:rowOff>147687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F3FB969E-4807-446C-9390-846C23F74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301875" y="380206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25</xdr:row>
      <xdr:rowOff>43656</xdr:rowOff>
    </xdr:from>
    <xdr:to>
      <xdr:col>5</xdr:col>
      <xdr:colOff>180223</xdr:colOff>
      <xdr:row>25</xdr:row>
      <xdr:rowOff>151656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7C0F3550-B0A8-411F-8096-294A2DA2A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301875" y="4529931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24</xdr:row>
      <xdr:rowOff>51593</xdr:rowOff>
    </xdr:from>
    <xdr:to>
      <xdr:col>3</xdr:col>
      <xdr:colOff>196099</xdr:colOff>
      <xdr:row>24</xdr:row>
      <xdr:rowOff>159593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01F33467-543B-4B01-9ADC-2654CF219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31876" y="4356893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26</xdr:row>
      <xdr:rowOff>35719</xdr:rowOff>
    </xdr:from>
    <xdr:to>
      <xdr:col>3</xdr:col>
      <xdr:colOff>196099</xdr:colOff>
      <xdr:row>26</xdr:row>
      <xdr:rowOff>143719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6F2C8500-C141-4979-89CE-B25DCFABD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31876" y="4702969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23</xdr:row>
      <xdr:rowOff>39687</xdr:rowOff>
    </xdr:from>
    <xdr:to>
      <xdr:col>5</xdr:col>
      <xdr:colOff>180223</xdr:colOff>
      <xdr:row>23</xdr:row>
      <xdr:rowOff>147687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38D71E2D-7944-46FC-8900-1A3982395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301875" y="416401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24</xdr:row>
      <xdr:rowOff>51593</xdr:rowOff>
    </xdr:from>
    <xdr:to>
      <xdr:col>5</xdr:col>
      <xdr:colOff>180223</xdr:colOff>
      <xdr:row>24</xdr:row>
      <xdr:rowOff>159593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252F0E01-9ABD-45AA-AA82-F5DE1CDC5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301875" y="4356893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26</xdr:row>
      <xdr:rowOff>35719</xdr:rowOff>
    </xdr:from>
    <xdr:to>
      <xdr:col>5</xdr:col>
      <xdr:colOff>180223</xdr:colOff>
      <xdr:row>26</xdr:row>
      <xdr:rowOff>143719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536DBFCC-8586-4F20-B28A-1392AFE41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301875" y="4702969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23</xdr:row>
      <xdr:rowOff>39687</xdr:rowOff>
    </xdr:from>
    <xdr:to>
      <xdr:col>3</xdr:col>
      <xdr:colOff>196099</xdr:colOff>
      <xdr:row>23</xdr:row>
      <xdr:rowOff>147687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82C9C068-3F5F-450E-BE2F-F66045A9D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031876" y="416401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25</xdr:row>
      <xdr:rowOff>43656</xdr:rowOff>
    </xdr:from>
    <xdr:to>
      <xdr:col>3</xdr:col>
      <xdr:colOff>196099</xdr:colOff>
      <xdr:row>25</xdr:row>
      <xdr:rowOff>151656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C4649853-EBDF-4DB9-AD93-717E6CBB9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031876" y="4529931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30</xdr:row>
      <xdr:rowOff>43657</xdr:rowOff>
    </xdr:from>
    <xdr:to>
      <xdr:col>3</xdr:col>
      <xdr:colOff>196099</xdr:colOff>
      <xdr:row>30</xdr:row>
      <xdr:rowOff>151657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8E469412-9450-4B7E-80B9-209CCCA2F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31876" y="543480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31</xdr:row>
      <xdr:rowOff>47625</xdr:rowOff>
    </xdr:from>
    <xdr:to>
      <xdr:col>3</xdr:col>
      <xdr:colOff>196099</xdr:colOff>
      <xdr:row>31</xdr:row>
      <xdr:rowOff>155625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01225958-B97B-42AB-A0CC-0C0F2074C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031876" y="561975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31</xdr:row>
      <xdr:rowOff>47625</xdr:rowOff>
    </xdr:from>
    <xdr:to>
      <xdr:col>5</xdr:col>
      <xdr:colOff>180223</xdr:colOff>
      <xdr:row>31</xdr:row>
      <xdr:rowOff>155625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7B783DF5-82BD-4E90-BC8C-6BE35A68B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301875" y="561975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30</xdr:row>
      <xdr:rowOff>43657</xdr:rowOff>
    </xdr:from>
    <xdr:to>
      <xdr:col>5</xdr:col>
      <xdr:colOff>180223</xdr:colOff>
      <xdr:row>30</xdr:row>
      <xdr:rowOff>151657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20076FBE-BC2E-49C3-A56F-239A99424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301875" y="543480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33</xdr:row>
      <xdr:rowOff>47625</xdr:rowOff>
    </xdr:from>
    <xdr:to>
      <xdr:col>3</xdr:col>
      <xdr:colOff>196099</xdr:colOff>
      <xdr:row>33</xdr:row>
      <xdr:rowOff>155625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52514D14-47E5-4FA2-8D93-7BA61D039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31876" y="598170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35</xdr:row>
      <xdr:rowOff>35718</xdr:rowOff>
    </xdr:from>
    <xdr:to>
      <xdr:col>5</xdr:col>
      <xdr:colOff>180223</xdr:colOff>
      <xdr:row>35</xdr:row>
      <xdr:rowOff>143718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16C1C2EC-0AD7-4E48-BC7F-56742924C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301875" y="6331743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33</xdr:row>
      <xdr:rowOff>47625</xdr:rowOff>
    </xdr:from>
    <xdr:to>
      <xdr:col>5</xdr:col>
      <xdr:colOff>180223</xdr:colOff>
      <xdr:row>33</xdr:row>
      <xdr:rowOff>155625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B55847A5-3BCF-42BD-9821-C71B14D10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301875" y="598170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34</xdr:row>
      <xdr:rowOff>51594</xdr:rowOff>
    </xdr:from>
    <xdr:to>
      <xdr:col>5</xdr:col>
      <xdr:colOff>180223</xdr:colOff>
      <xdr:row>34</xdr:row>
      <xdr:rowOff>159594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F1BA73A9-745A-464B-BBCB-CE6A9C0EB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301875" y="616664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32</xdr:row>
      <xdr:rowOff>43657</xdr:rowOff>
    </xdr:from>
    <xdr:to>
      <xdr:col>3</xdr:col>
      <xdr:colOff>196099</xdr:colOff>
      <xdr:row>32</xdr:row>
      <xdr:rowOff>151657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6EF62759-1AF7-4A77-950A-FD5F44AB1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031876" y="579675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35</xdr:row>
      <xdr:rowOff>35718</xdr:rowOff>
    </xdr:from>
    <xdr:to>
      <xdr:col>3</xdr:col>
      <xdr:colOff>196099</xdr:colOff>
      <xdr:row>35</xdr:row>
      <xdr:rowOff>143718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BFA755B5-4676-4616-8BC2-823987A88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031876" y="6331743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32</xdr:row>
      <xdr:rowOff>43657</xdr:rowOff>
    </xdr:from>
    <xdr:to>
      <xdr:col>5</xdr:col>
      <xdr:colOff>180223</xdr:colOff>
      <xdr:row>32</xdr:row>
      <xdr:rowOff>151657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C1D2CFE8-40C5-4D13-8877-A4AD1C8FD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301875" y="579675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34</xdr:row>
      <xdr:rowOff>51594</xdr:rowOff>
    </xdr:from>
    <xdr:to>
      <xdr:col>3</xdr:col>
      <xdr:colOff>196099</xdr:colOff>
      <xdr:row>34</xdr:row>
      <xdr:rowOff>159594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0EA45F9A-BB8F-42E6-8437-5392CB48F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031876" y="616664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39</xdr:row>
      <xdr:rowOff>39686</xdr:rowOff>
    </xdr:from>
    <xdr:to>
      <xdr:col>3</xdr:col>
      <xdr:colOff>196099</xdr:colOff>
      <xdr:row>39</xdr:row>
      <xdr:rowOff>147686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A83D3331-3DB6-4E7F-BCAE-2A0FBA45C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031876" y="7059611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40</xdr:row>
      <xdr:rowOff>79375</xdr:rowOff>
    </xdr:from>
    <xdr:to>
      <xdr:col>3</xdr:col>
      <xdr:colOff>196099</xdr:colOff>
      <xdr:row>41</xdr:row>
      <xdr:rowOff>4812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5E37F0C7-CEC5-4CE8-93D1-4B2B99D36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031876" y="7280275"/>
          <a:ext cx="164348" cy="106412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40</xdr:row>
      <xdr:rowOff>47625</xdr:rowOff>
    </xdr:from>
    <xdr:to>
      <xdr:col>5</xdr:col>
      <xdr:colOff>180223</xdr:colOff>
      <xdr:row>40</xdr:row>
      <xdr:rowOff>155625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01817C5F-65A0-49DB-B350-9C593F003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301875" y="7248525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39</xdr:row>
      <xdr:rowOff>39686</xdr:rowOff>
    </xdr:from>
    <xdr:to>
      <xdr:col>5</xdr:col>
      <xdr:colOff>180223</xdr:colOff>
      <xdr:row>39</xdr:row>
      <xdr:rowOff>147686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EC3A1CD7-E50D-4C2C-94A8-CF5780AA8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301875" y="7059611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43</xdr:row>
      <xdr:rowOff>55562</xdr:rowOff>
    </xdr:from>
    <xdr:to>
      <xdr:col>5</xdr:col>
      <xdr:colOff>180223</xdr:colOff>
      <xdr:row>43</xdr:row>
      <xdr:rowOff>163562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65670649-3502-44C9-8EEC-8D674D0D0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301875" y="779938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42</xdr:row>
      <xdr:rowOff>55562</xdr:rowOff>
    </xdr:from>
    <xdr:to>
      <xdr:col>3</xdr:col>
      <xdr:colOff>196099</xdr:colOff>
      <xdr:row>42</xdr:row>
      <xdr:rowOff>163562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05A287B9-DBF8-4067-AFF4-C666E22C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031876" y="761841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42</xdr:row>
      <xdr:rowOff>55562</xdr:rowOff>
    </xdr:from>
    <xdr:to>
      <xdr:col>5</xdr:col>
      <xdr:colOff>180223</xdr:colOff>
      <xdr:row>42</xdr:row>
      <xdr:rowOff>163562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71D3FBAD-9D48-4072-8CBC-AFEA46082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301875" y="761841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44</xdr:row>
      <xdr:rowOff>55563</xdr:rowOff>
    </xdr:from>
    <xdr:to>
      <xdr:col>5</xdr:col>
      <xdr:colOff>180223</xdr:colOff>
      <xdr:row>44</xdr:row>
      <xdr:rowOff>163563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EDC0C32F-A531-4AC5-9E9F-68423345B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301875" y="7980363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41</xdr:row>
      <xdr:rowOff>39687</xdr:rowOff>
    </xdr:from>
    <xdr:to>
      <xdr:col>3</xdr:col>
      <xdr:colOff>196099</xdr:colOff>
      <xdr:row>41</xdr:row>
      <xdr:rowOff>147687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CCF57422-3065-4C0B-8FC9-D395FD82C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031876" y="742156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43</xdr:row>
      <xdr:rowOff>55562</xdr:rowOff>
    </xdr:from>
    <xdr:to>
      <xdr:col>3</xdr:col>
      <xdr:colOff>196099</xdr:colOff>
      <xdr:row>43</xdr:row>
      <xdr:rowOff>163562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72043784-BCDF-44B5-8AB0-B5E359B51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031876" y="779938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41</xdr:row>
      <xdr:rowOff>39687</xdr:rowOff>
    </xdr:from>
    <xdr:to>
      <xdr:col>5</xdr:col>
      <xdr:colOff>180223</xdr:colOff>
      <xdr:row>41</xdr:row>
      <xdr:rowOff>147687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CFB6C344-DC49-4890-8300-B988FD449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301875" y="742156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44</xdr:row>
      <xdr:rowOff>55563</xdr:rowOff>
    </xdr:from>
    <xdr:to>
      <xdr:col>3</xdr:col>
      <xdr:colOff>196099</xdr:colOff>
      <xdr:row>44</xdr:row>
      <xdr:rowOff>163563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9B87925E-5943-4C25-94E3-C45E2EC39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031876" y="7980363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48</xdr:row>
      <xdr:rowOff>39688</xdr:rowOff>
    </xdr:from>
    <xdr:to>
      <xdr:col>3</xdr:col>
      <xdr:colOff>196099</xdr:colOff>
      <xdr:row>48</xdr:row>
      <xdr:rowOff>147688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862897C7-62BC-490F-A2B5-AE82E6594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031876" y="868838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48</xdr:row>
      <xdr:rowOff>39688</xdr:rowOff>
    </xdr:from>
    <xdr:to>
      <xdr:col>5</xdr:col>
      <xdr:colOff>180223</xdr:colOff>
      <xdr:row>48</xdr:row>
      <xdr:rowOff>147688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A50E2871-0DCE-4772-9CD8-0E38544DE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301875" y="868838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50</xdr:row>
      <xdr:rowOff>39687</xdr:rowOff>
    </xdr:from>
    <xdr:to>
      <xdr:col>5</xdr:col>
      <xdr:colOff>180223</xdr:colOff>
      <xdr:row>50</xdr:row>
      <xdr:rowOff>147687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D55FACEE-CE2F-409B-9ABA-9E299B3A9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301875" y="905033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49</xdr:row>
      <xdr:rowOff>47624</xdr:rowOff>
    </xdr:from>
    <xdr:to>
      <xdr:col>5</xdr:col>
      <xdr:colOff>180223</xdr:colOff>
      <xdr:row>49</xdr:row>
      <xdr:rowOff>155624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6CBD61A7-2147-40CC-9A6E-7801FD0D0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301875" y="8877299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52</xdr:row>
      <xdr:rowOff>31750</xdr:rowOff>
    </xdr:from>
    <xdr:to>
      <xdr:col>5</xdr:col>
      <xdr:colOff>180223</xdr:colOff>
      <xdr:row>52</xdr:row>
      <xdr:rowOff>139750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C312242A-4ED9-47BE-B74A-E5900A4B3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301875" y="940435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50</xdr:row>
      <xdr:rowOff>39687</xdr:rowOff>
    </xdr:from>
    <xdr:to>
      <xdr:col>3</xdr:col>
      <xdr:colOff>196099</xdr:colOff>
      <xdr:row>50</xdr:row>
      <xdr:rowOff>147687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BD7FDC54-DB69-4184-A0E2-E319E8EE1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031876" y="905033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51</xdr:row>
      <xdr:rowOff>39688</xdr:rowOff>
    </xdr:from>
    <xdr:to>
      <xdr:col>5</xdr:col>
      <xdr:colOff>180223</xdr:colOff>
      <xdr:row>51</xdr:row>
      <xdr:rowOff>147688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5C7739E7-42BF-472F-A7DE-1154DA81B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301875" y="9231313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53</xdr:row>
      <xdr:rowOff>31749</xdr:rowOff>
    </xdr:from>
    <xdr:to>
      <xdr:col>3</xdr:col>
      <xdr:colOff>196099</xdr:colOff>
      <xdr:row>53</xdr:row>
      <xdr:rowOff>139749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D7689E13-2918-4515-B6EC-2B7811E5F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31876" y="958532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49</xdr:row>
      <xdr:rowOff>47624</xdr:rowOff>
    </xdr:from>
    <xdr:to>
      <xdr:col>3</xdr:col>
      <xdr:colOff>196099</xdr:colOff>
      <xdr:row>49</xdr:row>
      <xdr:rowOff>155624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5121C798-3C0E-4595-A05E-B6BB893D9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031876" y="8877299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53</xdr:row>
      <xdr:rowOff>31749</xdr:rowOff>
    </xdr:from>
    <xdr:to>
      <xdr:col>5</xdr:col>
      <xdr:colOff>180223</xdr:colOff>
      <xdr:row>53</xdr:row>
      <xdr:rowOff>139749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2380C086-123D-4A67-AB98-2231172F6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301875" y="958532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51</xdr:row>
      <xdr:rowOff>39688</xdr:rowOff>
    </xdr:from>
    <xdr:to>
      <xdr:col>3</xdr:col>
      <xdr:colOff>196099</xdr:colOff>
      <xdr:row>51</xdr:row>
      <xdr:rowOff>147688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02171CBA-0150-4B94-B162-C455C076D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031876" y="9231313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52</xdr:row>
      <xdr:rowOff>31750</xdr:rowOff>
    </xdr:from>
    <xdr:to>
      <xdr:col>3</xdr:col>
      <xdr:colOff>196099</xdr:colOff>
      <xdr:row>52</xdr:row>
      <xdr:rowOff>139750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C3DE82B0-CBDF-4E92-B26C-8CA6ADF37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031876" y="940435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58</xdr:row>
      <xdr:rowOff>47625</xdr:rowOff>
    </xdr:from>
    <xdr:to>
      <xdr:col>3</xdr:col>
      <xdr:colOff>196099</xdr:colOff>
      <xdr:row>58</xdr:row>
      <xdr:rowOff>155625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A7395B99-37F7-4151-9143-DF03B3F23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031876" y="10506075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60</xdr:row>
      <xdr:rowOff>47625</xdr:rowOff>
    </xdr:from>
    <xdr:to>
      <xdr:col>5</xdr:col>
      <xdr:colOff>180223</xdr:colOff>
      <xdr:row>60</xdr:row>
      <xdr:rowOff>155625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934F55A6-C847-48E9-AB6D-9C75A7940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301875" y="10868025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57</xdr:row>
      <xdr:rowOff>39687</xdr:rowOff>
    </xdr:from>
    <xdr:to>
      <xdr:col>5</xdr:col>
      <xdr:colOff>180223</xdr:colOff>
      <xdr:row>57</xdr:row>
      <xdr:rowOff>147687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443CB269-677F-45CD-B35C-66F1BEC75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301875" y="1031716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60</xdr:row>
      <xdr:rowOff>47625</xdr:rowOff>
    </xdr:from>
    <xdr:to>
      <xdr:col>3</xdr:col>
      <xdr:colOff>196099</xdr:colOff>
      <xdr:row>60</xdr:row>
      <xdr:rowOff>155625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CF91EABC-F506-4BC7-972A-902790EEE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031876" y="10868025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62</xdr:row>
      <xdr:rowOff>43656</xdr:rowOff>
    </xdr:from>
    <xdr:to>
      <xdr:col>5</xdr:col>
      <xdr:colOff>180223</xdr:colOff>
      <xdr:row>62</xdr:row>
      <xdr:rowOff>151656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7894690E-8069-46CD-896F-6059C03D2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301875" y="11226006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61</xdr:row>
      <xdr:rowOff>47624</xdr:rowOff>
    </xdr:from>
    <xdr:to>
      <xdr:col>3</xdr:col>
      <xdr:colOff>196099</xdr:colOff>
      <xdr:row>61</xdr:row>
      <xdr:rowOff>155624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3FD722EB-C0E3-48D2-91DD-D6CCBDD86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031876" y="11048999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58</xdr:row>
      <xdr:rowOff>47625</xdr:rowOff>
    </xdr:from>
    <xdr:to>
      <xdr:col>5</xdr:col>
      <xdr:colOff>180223</xdr:colOff>
      <xdr:row>58</xdr:row>
      <xdr:rowOff>155625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03393BEC-C09F-47F9-B371-A37DCB81D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301875" y="10506075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59</xdr:row>
      <xdr:rowOff>43655</xdr:rowOff>
    </xdr:from>
    <xdr:to>
      <xdr:col>5</xdr:col>
      <xdr:colOff>180223</xdr:colOff>
      <xdr:row>59</xdr:row>
      <xdr:rowOff>151655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6D1B3347-AF0C-43A8-9563-DC4AE4DDE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301875" y="1068308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57</xdr:row>
      <xdr:rowOff>39687</xdr:rowOff>
    </xdr:from>
    <xdr:to>
      <xdr:col>3</xdr:col>
      <xdr:colOff>196099</xdr:colOff>
      <xdr:row>57</xdr:row>
      <xdr:rowOff>147687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51EE3984-2198-475D-881D-7C3448E32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031876" y="1031716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61</xdr:row>
      <xdr:rowOff>47624</xdr:rowOff>
    </xdr:from>
    <xdr:to>
      <xdr:col>5</xdr:col>
      <xdr:colOff>180223</xdr:colOff>
      <xdr:row>61</xdr:row>
      <xdr:rowOff>155624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FB7993F3-A9A4-4C64-B06D-DFE1615D2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301875" y="11048999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59</xdr:row>
      <xdr:rowOff>43655</xdr:rowOff>
    </xdr:from>
    <xdr:to>
      <xdr:col>3</xdr:col>
      <xdr:colOff>196099</xdr:colOff>
      <xdr:row>59</xdr:row>
      <xdr:rowOff>151655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7FE6DC73-D322-453C-AACA-2B040668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31876" y="1068308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62</xdr:row>
      <xdr:rowOff>43656</xdr:rowOff>
    </xdr:from>
    <xdr:to>
      <xdr:col>3</xdr:col>
      <xdr:colOff>196099</xdr:colOff>
      <xdr:row>62</xdr:row>
      <xdr:rowOff>151656</xdr:rowOff>
    </xdr:to>
    <xdr:pic>
      <xdr:nvPicPr>
        <xdr:cNvPr id="277" name="Picture 276">
          <a:extLst>
            <a:ext uri="{FF2B5EF4-FFF2-40B4-BE49-F238E27FC236}">
              <a16:creationId xmlns:a16="http://schemas.microsoft.com/office/drawing/2014/main" id="{9FAF1C3B-C5CC-47FF-9582-EDCA28CA8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31876" y="11226006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67</xdr:row>
      <xdr:rowOff>39687</xdr:rowOff>
    </xdr:from>
    <xdr:to>
      <xdr:col>3</xdr:col>
      <xdr:colOff>196099</xdr:colOff>
      <xdr:row>67</xdr:row>
      <xdr:rowOff>147687</xdr:rowOff>
    </xdr:to>
    <xdr:pic>
      <xdr:nvPicPr>
        <xdr:cNvPr id="278" name="Picture 277">
          <a:extLst>
            <a:ext uri="{FF2B5EF4-FFF2-40B4-BE49-F238E27FC236}">
              <a16:creationId xmlns:a16="http://schemas.microsoft.com/office/drawing/2014/main" id="{8ED0BB48-C2FC-4045-B5DD-DD3478BB2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031876" y="1212691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67</xdr:row>
      <xdr:rowOff>39687</xdr:rowOff>
    </xdr:from>
    <xdr:to>
      <xdr:col>5</xdr:col>
      <xdr:colOff>180223</xdr:colOff>
      <xdr:row>67</xdr:row>
      <xdr:rowOff>147687</xdr:rowOff>
    </xdr:to>
    <xdr:pic>
      <xdr:nvPicPr>
        <xdr:cNvPr id="279" name="Picture 278">
          <a:extLst>
            <a:ext uri="{FF2B5EF4-FFF2-40B4-BE49-F238E27FC236}">
              <a16:creationId xmlns:a16="http://schemas.microsoft.com/office/drawing/2014/main" id="{077A43EA-A951-46E7-B9DB-7E58D8F1E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301875" y="1212691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66</xdr:row>
      <xdr:rowOff>39688</xdr:rowOff>
    </xdr:from>
    <xdr:to>
      <xdr:col>3</xdr:col>
      <xdr:colOff>196099</xdr:colOff>
      <xdr:row>66</xdr:row>
      <xdr:rowOff>147688</xdr:rowOff>
    </xdr:to>
    <xdr:pic>
      <xdr:nvPicPr>
        <xdr:cNvPr id="280" name="Picture 279">
          <a:extLst>
            <a:ext uri="{FF2B5EF4-FFF2-40B4-BE49-F238E27FC236}">
              <a16:creationId xmlns:a16="http://schemas.microsoft.com/office/drawing/2014/main" id="{B5C19E94-B671-4509-9667-6F7C6DA60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031876" y="1194593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66</xdr:row>
      <xdr:rowOff>39688</xdr:rowOff>
    </xdr:from>
    <xdr:to>
      <xdr:col>5</xdr:col>
      <xdr:colOff>180223</xdr:colOff>
      <xdr:row>66</xdr:row>
      <xdr:rowOff>147688</xdr:rowOff>
    </xdr:to>
    <xdr:pic>
      <xdr:nvPicPr>
        <xdr:cNvPr id="281" name="Picture 280">
          <a:extLst>
            <a:ext uri="{FF2B5EF4-FFF2-40B4-BE49-F238E27FC236}">
              <a16:creationId xmlns:a16="http://schemas.microsoft.com/office/drawing/2014/main" id="{C4309C5B-7423-4DF9-9B57-B614E47E6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301875" y="1194593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69</xdr:row>
      <xdr:rowOff>47624</xdr:rowOff>
    </xdr:from>
    <xdr:to>
      <xdr:col>3</xdr:col>
      <xdr:colOff>196099</xdr:colOff>
      <xdr:row>69</xdr:row>
      <xdr:rowOff>155624</xdr:rowOff>
    </xdr:to>
    <xdr:pic>
      <xdr:nvPicPr>
        <xdr:cNvPr id="282" name="Picture 281">
          <a:extLst>
            <a:ext uri="{FF2B5EF4-FFF2-40B4-BE49-F238E27FC236}">
              <a16:creationId xmlns:a16="http://schemas.microsoft.com/office/drawing/2014/main" id="{220D0678-7D42-4A40-B6FD-618E63ACE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031876" y="12496799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71</xdr:row>
      <xdr:rowOff>39687</xdr:rowOff>
    </xdr:from>
    <xdr:to>
      <xdr:col>5</xdr:col>
      <xdr:colOff>180223</xdr:colOff>
      <xdr:row>71</xdr:row>
      <xdr:rowOff>147687</xdr:rowOff>
    </xdr:to>
    <xdr:pic>
      <xdr:nvPicPr>
        <xdr:cNvPr id="283" name="Picture 282">
          <a:extLst>
            <a:ext uri="{FF2B5EF4-FFF2-40B4-BE49-F238E27FC236}">
              <a16:creationId xmlns:a16="http://schemas.microsoft.com/office/drawing/2014/main" id="{ABDB125E-21C7-474F-8048-46D5DB174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301875" y="1285081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68</xdr:row>
      <xdr:rowOff>39688</xdr:rowOff>
    </xdr:from>
    <xdr:to>
      <xdr:col>5</xdr:col>
      <xdr:colOff>180223</xdr:colOff>
      <xdr:row>68</xdr:row>
      <xdr:rowOff>147688</xdr:rowOff>
    </xdr:to>
    <xdr:pic>
      <xdr:nvPicPr>
        <xdr:cNvPr id="284" name="Picture 283">
          <a:extLst>
            <a:ext uri="{FF2B5EF4-FFF2-40B4-BE49-F238E27FC236}">
              <a16:creationId xmlns:a16="http://schemas.microsoft.com/office/drawing/2014/main" id="{FEC618D4-2524-4977-B671-978B4785D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301875" y="1230788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69</xdr:row>
      <xdr:rowOff>47624</xdr:rowOff>
    </xdr:from>
    <xdr:to>
      <xdr:col>5</xdr:col>
      <xdr:colOff>180223</xdr:colOff>
      <xdr:row>69</xdr:row>
      <xdr:rowOff>155624</xdr:rowOff>
    </xdr:to>
    <xdr:pic>
      <xdr:nvPicPr>
        <xdr:cNvPr id="285" name="Picture 284">
          <a:extLst>
            <a:ext uri="{FF2B5EF4-FFF2-40B4-BE49-F238E27FC236}">
              <a16:creationId xmlns:a16="http://schemas.microsoft.com/office/drawing/2014/main" id="{154703BE-B9B2-4613-A399-2A0F84A41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301875" y="12496799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70</xdr:row>
      <xdr:rowOff>51594</xdr:rowOff>
    </xdr:from>
    <xdr:to>
      <xdr:col>5</xdr:col>
      <xdr:colOff>180223</xdr:colOff>
      <xdr:row>70</xdr:row>
      <xdr:rowOff>159594</xdr:rowOff>
    </xdr:to>
    <xdr:pic>
      <xdr:nvPicPr>
        <xdr:cNvPr id="286" name="Picture 285">
          <a:extLst>
            <a:ext uri="{FF2B5EF4-FFF2-40B4-BE49-F238E27FC236}">
              <a16:creationId xmlns:a16="http://schemas.microsoft.com/office/drawing/2014/main" id="{38BF880F-5726-4AF7-921B-0B839F868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301875" y="1268174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68</xdr:row>
      <xdr:rowOff>39688</xdr:rowOff>
    </xdr:from>
    <xdr:to>
      <xdr:col>3</xdr:col>
      <xdr:colOff>196099</xdr:colOff>
      <xdr:row>68</xdr:row>
      <xdr:rowOff>147688</xdr:rowOff>
    </xdr:to>
    <xdr:pic>
      <xdr:nvPicPr>
        <xdr:cNvPr id="287" name="Picture 286">
          <a:extLst>
            <a:ext uri="{FF2B5EF4-FFF2-40B4-BE49-F238E27FC236}">
              <a16:creationId xmlns:a16="http://schemas.microsoft.com/office/drawing/2014/main" id="{E1F59FD2-ACAD-4B58-B20D-F3231C632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031876" y="1230788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71</xdr:row>
      <xdr:rowOff>39687</xdr:rowOff>
    </xdr:from>
    <xdr:to>
      <xdr:col>3</xdr:col>
      <xdr:colOff>196099</xdr:colOff>
      <xdr:row>71</xdr:row>
      <xdr:rowOff>147687</xdr:rowOff>
    </xdr:to>
    <xdr:pic>
      <xdr:nvPicPr>
        <xdr:cNvPr id="288" name="Picture 287">
          <a:extLst>
            <a:ext uri="{FF2B5EF4-FFF2-40B4-BE49-F238E27FC236}">
              <a16:creationId xmlns:a16="http://schemas.microsoft.com/office/drawing/2014/main" id="{BD79FB60-2F65-45F0-94A8-9F90AA3C2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031876" y="1285081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70</xdr:row>
      <xdr:rowOff>51594</xdr:rowOff>
    </xdr:from>
    <xdr:to>
      <xdr:col>3</xdr:col>
      <xdr:colOff>196099</xdr:colOff>
      <xdr:row>70</xdr:row>
      <xdr:rowOff>159594</xdr:rowOff>
    </xdr:to>
    <xdr:pic>
      <xdr:nvPicPr>
        <xdr:cNvPr id="289" name="Picture 288">
          <a:extLst>
            <a:ext uri="{FF2B5EF4-FFF2-40B4-BE49-F238E27FC236}">
              <a16:creationId xmlns:a16="http://schemas.microsoft.com/office/drawing/2014/main" id="{09B90471-B71C-4D8B-83A4-48BE3A06D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031876" y="12681744"/>
          <a:ext cx="164348" cy="10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31751</xdr:colOff>
      <xdr:row>3</xdr:row>
      <xdr:rowOff>47626</xdr:rowOff>
    </xdr:from>
    <xdr:to>
      <xdr:col>3</xdr:col>
      <xdr:colOff>196099</xdr:colOff>
      <xdr:row>3</xdr:row>
      <xdr:rowOff>155626</xdr:rowOff>
    </xdr:to>
    <xdr:pic>
      <xdr:nvPicPr>
        <xdr:cNvPr id="2" name="Picture 193">
          <a:extLst>
            <a:ext uri="{FF2B5EF4-FFF2-40B4-BE49-F238E27FC236}">
              <a16:creationId xmlns:a16="http://schemas.microsoft.com/office/drawing/2014/main" id="{74DB39A1-413C-47CC-9914-0F30302B3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1876" y="590551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3</xdr:row>
      <xdr:rowOff>47626</xdr:rowOff>
    </xdr:from>
    <xdr:to>
      <xdr:col>5</xdr:col>
      <xdr:colOff>180223</xdr:colOff>
      <xdr:row>3</xdr:row>
      <xdr:rowOff>155626</xdr:rowOff>
    </xdr:to>
    <xdr:pic>
      <xdr:nvPicPr>
        <xdr:cNvPr id="3" name="Picture 194">
          <a:extLst>
            <a:ext uri="{FF2B5EF4-FFF2-40B4-BE49-F238E27FC236}">
              <a16:creationId xmlns:a16="http://schemas.microsoft.com/office/drawing/2014/main" id="{B2FE2A44-101A-4652-BD5D-0D0C16BE7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1875" y="590551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4</xdr:row>
      <xdr:rowOff>39688</xdr:rowOff>
    </xdr:from>
    <xdr:to>
      <xdr:col>3</xdr:col>
      <xdr:colOff>196099</xdr:colOff>
      <xdr:row>4</xdr:row>
      <xdr:rowOff>147688</xdr:rowOff>
    </xdr:to>
    <xdr:pic>
      <xdr:nvPicPr>
        <xdr:cNvPr id="4" name="Picture 195">
          <a:extLst>
            <a:ext uri="{FF2B5EF4-FFF2-40B4-BE49-F238E27FC236}">
              <a16:creationId xmlns:a16="http://schemas.microsoft.com/office/drawing/2014/main" id="{87DF0C40-4E76-48CA-8147-273D15E75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1876" y="76358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4</xdr:row>
      <xdr:rowOff>39688</xdr:rowOff>
    </xdr:from>
    <xdr:to>
      <xdr:col>5</xdr:col>
      <xdr:colOff>180223</xdr:colOff>
      <xdr:row>4</xdr:row>
      <xdr:rowOff>147688</xdr:rowOff>
    </xdr:to>
    <xdr:pic>
      <xdr:nvPicPr>
        <xdr:cNvPr id="5" name="Picture 196">
          <a:extLst>
            <a:ext uri="{FF2B5EF4-FFF2-40B4-BE49-F238E27FC236}">
              <a16:creationId xmlns:a16="http://schemas.microsoft.com/office/drawing/2014/main" id="{E4B064FB-2BBF-4AAC-8842-59FD54624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01875" y="76358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5</xdr:row>
      <xdr:rowOff>43657</xdr:rowOff>
    </xdr:from>
    <xdr:to>
      <xdr:col>3</xdr:col>
      <xdr:colOff>196099</xdr:colOff>
      <xdr:row>5</xdr:row>
      <xdr:rowOff>151657</xdr:rowOff>
    </xdr:to>
    <xdr:pic>
      <xdr:nvPicPr>
        <xdr:cNvPr id="6" name="Picture 197">
          <a:extLst>
            <a:ext uri="{FF2B5EF4-FFF2-40B4-BE49-F238E27FC236}">
              <a16:creationId xmlns:a16="http://schemas.microsoft.com/office/drawing/2014/main" id="{D9E82C4A-76EF-416A-BDEA-8CCEEE5D4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1876" y="94853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8</xdr:row>
      <xdr:rowOff>47626</xdr:rowOff>
    </xdr:from>
    <xdr:to>
      <xdr:col>5</xdr:col>
      <xdr:colOff>180223</xdr:colOff>
      <xdr:row>8</xdr:row>
      <xdr:rowOff>155626</xdr:rowOff>
    </xdr:to>
    <xdr:pic>
      <xdr:nvPicPr>
        <xdr:cNvPr id="7" name="Picture 198">
          <a:extLst>
            <a:ext uri="{FF2B5EF4-FFF2-40B4-BE49-F238E27FC236}">
              <a16:creationId xmlns:a16="http://schemas.microsoft.com/office/drawing/2014/main" id="{207E47B8-697D-4FA3-A836-C08808FFA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875" y="1495426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6</xdr:row>
      <xdr:rowOff>39688</xdr:rowOff>
    </xdr:from>
    <xdr:to>
      <xdr:col>5</xdr:col>
      <xdr:colOff>180223</xdr:colOff>
      <xdr:row>6</xdr:row>
      <xdr:rowOff>147688</xdr:rowOff>
    </xdr:to>
    <xdr:pic>
      <xdr:nvPicPr>
        <xdr:cNvPr id="8" name="Picture 199">
          <a:extLst>
            <a:ext uri="{FF2B5EF4-FFF2-40B4-BE49-F238E27FC236}">
              <a16:creationId xmlns:a16="http://schemas.microsoft.com/office/drawing/2014/main" id="{83CC6F47-9A46-4006-BC6C-F1A79EEAB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1875" y="112553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7</xdr:row>
      <xdr:rowOff>43657</xdr:rowOff>
    </xdr:from>
    <xdr:to>
      <xdr:col>3</xdr:col>
      <xdr:colOff>196099</xdr:colOff>
      <xdr:row>7</xdr:row>
      <xdr:rowOff>151657</xdr:rowOff>
    </xdr:to>
    <xdr:pic>
      <xdr:nvPicPr>
        <xdr:cNvPr id="9" name="Picture 200">
          <a:extLst>
            <a:ext uri="{FF2B5EF4-FFF2-40B4-BE49-F238E27FC236}">
              <a16:creationId xmlns:a16="http://schemas.microsoft.com/office/drawing/2014/main" id="{61C02A26-B182-4960-9183-CDD24DB36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1876" y="131048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5</xdr:row>
      <xdr:rowOff>43657</xdr:rowOff>
    </xdr:from>
    <xdr:to>
      <xdr:col>5</xdr:col>
      <xdr:colOff>180223</xdr:colOff>
      <xdr:row>5</xdr:row>
      <xdr:rowOff>151657</xdr:rowOff>
    </xdr:to>
    <xdr:pic>
      <xdr:nvPicPr>
        <xdr:cNvPr id="10" name="Picture 201">
          <a:extLst>
            <a:ext uri="{FF2B5EF4-FFF2-40B4-BE49-F238E27FC236}">
              <a16:creationId xmlns:a16="http://schemas.microsoft.com/office/drawing/2014/main" id="{3286F863-FC28-4D49-A6F2-B58C5744E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01875" y="94853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7</xdr:row>
      <xdr:rowOff>43657</xdr:rowOff>
    </xdr:from>
    <xdr:to>
      <xdr:col>5</xdr:col>
      <xdr:colOff>180223</xdr:colOff>
      <xdr:row>7</xdr:row>
      <xdr:rowOff>151657</xdr:rowOff>
    </xdr:to>
    <xdr:pic>
      <xdr:nvPicPr>
        <xdr:cNvPr id="11" name="Picture 202">
          <a:extLst>
            <a:ext uri="{FF2B5EF4-FFF2-40B4-BE49-F238E27FC236}">
              <a16:creationId xmlns:a16="http://schemas.microsoft.com/office/drawing/2014/main" id="{0B99A2B1-1E5F-4C13-8F18-47A342357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01875" y="131048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6</xdr:row>
      <xdr:rowOff>39688</xdr:rowOff>
    </xdr:from>
    <xdr:to>
      <xdr:col>3</xdr:col>
      <xdr:colOff>196099</xdr:colOff>
      <xdr:row>6</xdr:row>
      <xdr:rowOff>147688</xdr:rowOff>
    </xdr:to>
    <xdr:pic>
      <xdr:nvPicPr>
        <xdr:cNvPr id="12" name="Picture 203">
          <a:extLst>
            <a:ext uri="{FF2B5EF4-FFF2-40B4-BE49-F238E27FC236}">
              <a16:creationId xmlns:a16="http://schemas.microsoft.com/office/drawing/2014/main" id="{2298EB1E-2869-4B4D-8169-1BFB4200A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1876" y="112553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8</xdr:row>
      <xdr:rowOff>47626</xdr:rowOff>
    </xdr:from>
    <xdr:to>
      <xdr:col>3</xdr:col>
      <xdr:colOff>196099</xdr:colOff>
      <xdr:row>8</xdr:row>
      <xdr:rowOff>155626</xdr:rowOff>
    </xdr:to>
    <xdr:pic>
      <xdr:nvPicPr>
        <xdr:cNvPr id="13" name="Picture 204">
          <a:extLst>
            <a:ext uri="{FF2B5EF4-FFF2-40B4-BE49-F238E27FC236}">
              <a16:creationId xmlns:a16="http://schemas.microsoft.com/office/drawing/2014/main" id="{E9ED5BD9-3544-4DF8-8949-5DB6DF2D0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1876" y="1495426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12</xdr:row>
      <xdr:rowOff>47625</xdr:rowOff>
    </xdr:from>
    <xdr:to>
      <xdr:col>3</xdr:col>
      <xdr:colOff>196099</xdr:colOff>
      <xdr:row>12</xdr:row>
      <xdr:rowOff>155625</xdr:rowOff>
    </xdr:to>
    <xdr:pic>
      <xdr:nvPicPr>
        <xdr:cNvPr id="14" name="Picture 205">
          <a:extLst>
            <a:ext uri="{FF2B5EF4-FFF2-40B4-BE49-F238E27FC236}">
              <a16:creationId xmlns:a16="http://schemas.microsoft.com/office/drawing/2014/main" id="{65418C9C-38F8-4E06-AE31-E605AA673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31876" y="2219325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12</xdr:row>
      <xdr:rowOff>47625</xdr:rowOff>
    </xdr:from>
    <xdr:to>
      <xdr:col>5</xdr:col>
      <xdr:colOff>180223</xdr:colOff>
      <xdr:row>12</xdr:row>
      <xdr:rowOff>155625</xdr:rowOff>
    </xdr:to>
    <xdr:pic>
      <xdr:nvPicPr>
        <xdr:cNvPr id="15" name="Picture 206">
          <a:extLst>
            <a:ext uri="{FF2B5EF4-FFF2-40B4-BE49-F238E27FC236}">
              <a16:creationId xmlns:a16="http://schemas.microsoft.com/office/drawing/2014/main" id="{C0825CC4-5649-424C-90A6-997576541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01875" y="2219325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14</xdr:row>
      <xdr:rowOff>31750</xdr:rowOff>
    </xdr:from>
    <xdr:to>
      <xdr:col>3</xdr:col>
      <xdr:colOff>196099</xdr:colOff>
      <xdr:row>14</xdr:row>
      <xdr:rowOff>139750</xdr:rowOff>
    </xdr:to>
    <xdr:pic>
      <xdr:nvPicPr>
        <xdr:cNvPr id="16" name="Picture 207">
          <a:extLst>
            <a:ext uri="{FF2B5EF4-FFF2-40B4-BE49-F238E27FC236}">
              <a16:creationId xmlns:a16="http://schemas.microsoft.com/office/drawing/2014/main" id="{CCEFBF1B-0B90-4689-A3C6-2940E91DF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31876" y="256540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16</xdr:row>
      <xdr:rowOff>35719</xdr:rowOff>
    </xdr:from>
    <xdr:to>
      <xdr:col>5</xdr:col>
      <xdr:colOff>180223</xdr:colOff>
      <xdr:row>16</xdr:row>
      <xdr:rowOff>143719</xdr:rowOff>
    </xdr:to>
    <xdr:pic>
      <xdr:nvPicPr>
        <xdr:cNvPr id="17" name="Picture 208">
          <a:extLst>
            <a:ext uri="{FF2B5EF4-FFF2-40B4-BE49-F238E27FC236}">
              <a16:creationId xmlns:a16="http://schemas.microsoft.com/office/drawing/2014/main" id="{533ADAF6-64FE-4C9D-8B24-E1B1CD1D1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01875" y="2931319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15</xdr:row>
      <xdr:rowOff>35719</xdr:rowOff>
    </xdr:from>
    <xdr:to>
      <xdr:col>3</xdr:col>
      <xdr:colOff>196099</xdr:colOff>
      <xdr:row>15</xdr:row>
      <xdr:rowOff>143719</xdr:rowOff>
    </xdr:to>
    <xdr:pic>
      <xdr:nvPicPr>
        <xdr:cNvPr id="18" name="Picture 209">
          <a:extLst>
            <a:ext uri="{FF2B5EF4-FFF2-40B4-BE49-F238E27FC236}">
              <a16:creationId xmlns:a16="http://schemas.microsoft.com/office/drawing/2014/main" id="{0F9D11CD-8F8C-4A6F-B86A-A9D7E3434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31876" y="275034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17</xdr:row>
      <xdr:rowOff>55562</xdr:rowOff>
    </xdr:from>
    <xdr:to>
      <xdr:col>3</xdr:col>
      <xdr:colOff>196099</xdr:colOff>
      <xdr:row>17</xdr:row>
      <xdr:rowOff>163562</xdr:rowOff>
    </xdr:to>
    <xdr:pic>
      <xdr:nvPicPr>
        <xdr:cNvPr id="19" name="Picture 210">
          <a:extLst>
            <a:ext uri="{FF2B5EF4-FFF2-40B4-BE49-F238E27FC236}">
              <a16:creationId xmlns:a16="http://schemas.microsoft.com/office/drawing/2014/main" id="{A79A964F-537A-4A17-933E-B67B9E233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31876" y="313213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14</xdr:row>
      <xdr:rowOff>31750</xdr:rowOff>
    </xdr:from>
    <xdr:to>
      <xdr:col>5</xdr:col>
      <xdr:colOff>180223</xdr:colOff>
      <xdr:row>14</xdr:row>
      <xdr:rowOff>139750</xdr:rowOff>
    </xdr:to>
    <xdr:pic>
      <xdr:nvPicPr>
        <xdr:cNvPr id="20" name="Picture 211">
          <a:extLst>
            <a:ext uri="{FF2B5EF4-FFF2-40B4-BE49-F238E27FC236}">
              <a16:creationId xmlns:a16="http://schemas.microsoft.com/office/drawing/2014/main" id="{2CA4B353-B54D-48D6-9E45-8E0AF8EA3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01875" y="256540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13</xdr:row>
      <xdr:rowOff>35719</xdr:rowOff>
    </xdr:from>
    <xdr:to>
      <xdr:col>3</xdr:col>
      <xdr:colOff>196099</xdr:colOff>
      <xdr:row>13</xdr:row>
      <xdr:rowOff>143719</xdr:rowOff>
    </xdr:to>
    <xdr:pic>
      <xdr:nvPicPr>
        <xdr:cNvPr id="21" name="Picture 212">
          <a:extLst>
            <a:ext uri="{FF2B5EF4-FFF2-40B4-BE49-F238E27FC236}">
              <a16:creationId xmlns:a16="http://schemas.microsoft.com/office/drawing/2014/main" id="{CEDCC266-F912-46F5-8179-135133947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31876" y="238839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15</xdr:row>
      <xdr:rowOff>35719</xdr:rowOff>
    </xdr:from>
    <xdr:to>
      <xdr:col>5</xdr:col>
      <xdr:colOff>180223</xdr:colOff>
      <xdr:row>15</xdr:row>
      <xdr:rowOff>143719</xdr:rowOff>
    </xdr:to>
    <xdr:pic>
      <xdr:nvPicPr>
        <xdr:cNvPr id="22" name="Picture 213">
          <a:extLst>
            <a:ext uri="{FF2B5EF4-FFF2-40B4-BE49-F238E27FC236}">
              <a16:creationId xmlns:a16="http://schemas.microsoft.com/office/drawing/2014/main" id="{88EB5688-A17F-4370-9940-5EBD97733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301875" y="275034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17</xdr:row>
      <xdr:rowOff>55562</xdr:rowOff>
    </xdr:from>
    <xdr:to>
      <xdr:col>5</xdr:col>
      <xdr:colOff>180223</xdr:colOff>
      <xdr:row>17</xdr:row>
      <xdr:rowOff>163562</xdr:rowOff>
    </xdr:to>
    <xdr:pic>
      <xdr:nvPicPr>
        <xdr:cNvPr id="23" name="Picture 214">
          <a:extLst>
            <a:ext uri="{FF2B5EF4-FFF2-40B4-BE49-F238E27FC236}">
              <a16:creationId xmlns:a16="http://schemas.microsoft.com/office/drawing/2014/main" id="{AAEE36F1-096A-4009-8BFA-61AD3BD67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301875" y="313213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16</xdr:row>
      <xdr:rowOff>35719</xdr:rowOff>
    </xdr:from>
    <xdr:to>
      <xdr:col>3</xdr:col>
      <xdr:colOff>196099</xdr:colOff>
      <xdr:row>16</xdr:row>
      <xdr:rowOff>143719</xdr:rowOff>
    </xdr:to>
    <xdr:pic>
      <xdr:nvPicPr>
        <xdr:cNvPr id="24" name="Picture 215">
          <a:extLst>
            <a:ext uri="{FF2B5EF4-FFF2-40B4-BE49-F238E27FC236}">
              <a16:creationId xmlns:a16="http://schemas.microsoft.com/office/drawing/2014/main" id="{1254BDDA-A568-4215-BA89-1647976A3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31876" y="2931319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13</xdr:row>
      <xdr:rowOff>35719</xdr:rowOff>
    </xdr:from>
    <xdr:to>
      <xdr:col>5</xdr:col>
      <xdr:colOff>180223</xdr:colOff>
      <xdr:row>13</xdr:row>
      <xdr:rowOff>143719</xdr:rowOff>
    </xdr:to>
    <xdr:pic>
      <xdr:nvPicPr>
        <xdr:cNvPr id="25" name="Picture 216">
          <a:extLst>
            <a:ext uri="{FF2B5EF4-FFF2-40B4-BE49-F238E27FC236}">
              <a16:creationId xmlns:a16="http://schemas.microsoft.com/office/drawing/2014/main" id="{C3DF440E-BF98-4B81-A8CC-DD85B8ADB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301875" y="238839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22</xdr:row>
      <xdr:rowOff>51594</xdr:rowOff>
    </xdr:from>
    <xdr:to>
      <xdr:col>3</xdr:col>
      <xdr:colOff>196099</xdr:colOff>
      <xdr:row>22</xdr:row>
      <xdr:rowOff>159594</xdr:rowOff>
    </xdr:to>
    <xdr:pic>
      <xdr:nvPicPr>
        <xdr:cNvPr id="26" name="Picture 217">
          <a:extLst>
            <a:ext uri="{FF2B5EF4-FFF2-40B4-BE49-F238E27FC236}">
              <a16:creationId xmlns:a16="http://schemas.microsoft.com/office/drawing/2014/main" id="{5BDCCA4D-0CA0-4507-AAA6-06777B59E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31876" y="401399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22</xdr:row>
      <xdr:rowOff>51594</xdr:rowOff>
    </xdr:from>
    <xdr:to>
      <xdr:col>5</xdr:col>
      <xdr:colOff>180223</xdr:colOff>
      <xdr:row>22</xdr:row>
      <xdr:rowOff>159594</xdr:rowOff>
    </xdr:to>
    <xdr:pic>
      <xdr:nvPicPr>
        <xdr:cNvPr id="27" name="Picture 218">
          <a:extLst>
            <a:ext uri="{FF2B5EF4-FFF2-40B4-BE49-F238E27FC236}">
              <a16:creationId xmlns:a16="http://schemas.microsoft.com/office/drawing/2014/main" id="{4FED90E0-D22C-4C8A-A6CD-F44C154FB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301875" y="401399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21</xdr:row>
      <xdr:rowOff>39687</xdr:rowOff>
    </xdr:from>
    <xdr:to>
      <xdr:col>3</xdr:col>
      <xdr:colOff>196099</xdr:colOff>
      <xdr:row>21</xdr:row>
      <xdr:rowOff>147687</xdr:rowOff>
    </xdr:to>
    <xdr:pic>
      <xdr:nvPicPr>
        <xdr:cNvPr id="28" name="Picture 219">
          <a:extLst>
            <a:ext uri="{FF2B5EF4-FFF2-40B4-BE49-F238E27FC236}">
              <a16:creationId xmlns:a16="http://schemas.microsoft.com/office/drawing/2014/main" id="{0C371275-0EE4-48E8-8220-7C7D03FF3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031876" y="382111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21</xdr:row>
      <xdr:rowOff>39687</xdr:rowOff>
    </xdr:from>
    <xdr:to>
      <xdr:col>5</xdr:col>
      <xdr:colOff>180223</xdr:colOff>
      <xdr:row>21</xdr:row>
      <xdr:rowOff>147687</xdr:rowOff>
    </xdr:to>
    <xdr:pic>
      <xdr:nvPicPr>
        <xdr:cNvPr id="29" name="Picture 220">
          <a:extLst>
            <a:ext uri="{FF2B5EF4-FFF2-40B4-BE49-F238E27FC236}">
              <a16:creationId xmlns:a16="http://schemas.microsoft.com/office/drawing/2014/main" id="{A0104714-01C0-4F9D-B72D-1AC43AAE8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301875" y="382111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25</xdr:row>
      <xdr:rowOff>43656</xdr:rowOff>
    </xdr:from>
    <xdr:to>
      <xdr:col>5</xdr:col>
      <xdr:colOff>180223</xdr:colOff>
      <xdr:row>25</xdr:row>
      <xdr:rowOff>151656</xdr:rowOff>
    </xdr:to>
    <xdr:pic>
      <xdr:nvPicPr>
        <xdr:cNvPr id="30" name="Picture 221">
          <a:extLst>
            <a:ext uri="{FF2B5EF4-FFF2-40B4-BE49-F238E27FC236}">
              <a16:creationId xmlns:a16="http://schemas.microsoft.com/office/drawing/2014/main" id="{BF48FD67-01F4-45DF-971A-E9FE76FAF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301875" y="4548981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24</xdr:row>
      <xdr:rowOff>51593</xdr:rowOff>
    </xdr:from>
    <xdr:to>
      <xdr:col>3</xdr:col>
      <xdr:colOff>196099</xdr:colOff>
      <xdr:row>24</xdr:row>
      <xdr:rowOff>159593</xdr:rowOff>
    </xdr:to>
    <xdr:pic>
      <xdr:nvPicPr>
        <xdr:cNvPr id="31" name="Picture 222">
          <a:extLst>
            <a:ext uri="{FF2B5EF4-FFF2-40B4-BE49-F238E27FC236}">
              <a16:creationId xmlns:a16="http://schemas.microsoft.com/office/drawing/2014/main" id="{9862245D-7C87-4928-8110-65FD3AEEB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31876" y="4375943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26</xdr:row>
      <xdr:rowOff>35719</xdr:rowOff>
    </xdr:from>
    <xdr:to>
      <xdr:col>3</xdr:col>
      <xdr:colOff>196099</xdr:colOff>
      <xdr:row>26</xdr:row>
      <xdr:rowOff>143719</xdr:rowOff>
    </xdr:to>
    <xdr:pic>
      <xdr:nvPicPr>
        <xdr:cNvPr id="32" name="Picture 223">
          <a:extLst>
            <a:ext uri="{FF2B5EF4-FFF2-40B4-BE49-F238E27FC236}">
              <a16:creationId xmlns:a16="http://schemas.microsoft.com/office/drawing/2014/main" id="{DAC78EB1-8945-46EB-B819-071F8F85C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31876" y="4722019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23</xdr:row>
      <xdr:rowOff>39687</xdr:rowOff>
    </xdr:from>
    <xdr:to>
      <xdr:col>5</xdr:col>
      <xdr:colOff>180223</xdr:colOff>
      <xdr:row>23</xdr:row>
      <xdr:rowOff>147687</xdr:rowOff>
    </xdr:to>
    <xdr:pic>
      <xdr:nvPicPr>
        <xdr:cNvPr id="33" name="Picture 224">
          <a:extLst>
            <a:ext uri="{FF2B5EF4-FFF2-40B4-BE49-F238E27FC236}">
              <a16:creationId xmlns:a16="http://schemas.microsoft.com/office/drawing/2014/main" id="{915E0688-702B-4091-B64F-F3EBF5DEB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301875" y="418306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24</xdr:row>
      <xdr:rowOff>51593</xdr:rowOff>
    </xdr:from>
    <xdr:to>
      <xdr:col>5</xdr:col>
      <xdr:colOff>180223</xdr:colOff>
      <xdr:row>24</xdr:row>
      <xdr:rowOff>159593</xdr:rowOff>
    </xdr:to>
    <xdr:pic>
      <xdr:nvPicPr>
        <xdr:cNvPr id="34" name="Picture 225">
          <a:extLst>
            <a:ext uri="{FF2B5EF4-FFF2-40B4-BE49-F238E27FC236}">
              <a16:creationId xmlns:a16="http://schemas.microsoft.com/office/drawing/2014/main" id="{6E8A5E5F-0070-44BC-A715-B84F43F7D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301875" y="4375943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26</xdr:row>
      <xdr:rowOff>35719</xdr:rowOff>
    </xdr:from>
    <xdr:to>
      <xdr:col>5</xdr:col>
      <xdr:colOff>180223</xdr:colOff>
      <xdr:row>26</xdr:row>
      <xdr:rowOff>143719</xdr:rowOff>
    </xdr:to>
    <xdr:pic>
      <xdr:nvPicPr>
        <xdr:cNvPr id="35" name="Picture 226">
          <a:extLst>
            <a:ext uri="{FF2B5EF4-FFF2-40B4-BE49-F238E27FC236}">
              <a16:creationId xmlns:a16="http://schemas.microsoft.com/office/drawing/2014/main" id="{C0B9B07F-92D1-43FB-AE98-79D5B9CED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301875" y="4722019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23</xdr:row>
      <xdr:rowOff>39687</xdr:rowOff>
    </xdr:from>
    <xdr:to>
      <xdr:col>3</xdr:col>
      <xdr:colOff>196099</xdr:colOff>
      <xdr:row>23</xdr:row>
      <xdr:rowOff>147687</xdr:rowOff>
    </xdr:to>
    <xdr:pic>
      <xdr:nvPicPr>
        <xdr:cNvPr id="36" name="Picture 227">
          <a:extLst>
            <a:ext uri="{FF2B5EF4-FFF2-40B4-BE49-F238E27FC236}">
              <a16:creationId xmlns:a16="http://schemas.microsoft.com/office/drawing/2014/main" id="{6987E682-7F82-4519-831D-EFDC1F332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031876" y="418306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25</xdr:row>
      <xdr:rowOff>43656</xdr:rowOff>
    </xdr:from>
    <xdr:to>
      <xdr:col>3</xdr:col>
      <xdr:colOff>196099</xdr:colOff>
      <xdr:row>25</xdr:row>
      <xdr:rowOff>151656</xdr:rowOff>
    </xdr:to>
    <xdr:pic>
      <xdr:nvPicPr>
        <xdr:cNvPr id="37" name="Picture 228">
          <a:extLst>
            <a:ext uri="{FF2B5EF4-FFF2-40B4-BE49-F238E27FC236}">
              <a16:creationId xmlns:a16="http://schemas.microsoft.com/office/drawing/2014/main" id="{59D866D8-5B15-4887-B2CA-2141E8BEC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031876" y="4548981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30</xdr:row>
      <xdr:rowOff>43657</xdr:rowOff>
    </xdr:from>
    <xdr:to>
      <xdr:col>3</xdr:col>
      <xdr:colOff>196099</xdr:colOff>
      <xdr:row>30</xdr:row>
      <xdr:rowOff>151657</xdr:rowOff>
    </xdr:to>
    <xdr:pic>
      <xdr:nvPicPr>
        <xdr:cNvPr id="38" name="Picture 229">
          <a:extLst>
            <a:ext uri="{FF2B5EF4-FFF2-40B4-BE49-F238E27FC236}">
              <a16:creationId xmlns:a16="http://schemas.microsoft.com/office/drawing/2014/main" id="{08911C12-60B5-489C-98C9-B0A0F1511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31876" y="545385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31</xdr:row>
      <xdr:rowOff>47625</xdr:rowOff>
    </xdr:from>
    <xdr:to>
      <xdr:col>3</xdr:col>
      <xdr:colOff>196099</xdr:colOff>
      <xdr:row>31</xdr:row>
      <xdr:rowOff>155625</xdr:rowOff>
    </xdr:to>
    <xdr:pic>
      <xdr:nvPicPr>
        <xdr:cNvPr id="39" name="Picture 230">
          <a:extLst>
            <a:ext uri="{FF2B5EF4-FFF2-40B4-BE49-F238E27FC236}">
              <a16:creationId xmlns:a16="http://schemas.microsoft.com/office/drawing/2014/main" id="{ED662A56-F9B8-4B32-B253-9B51DC333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031876" y="563880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31</xdr:row>
      <xdr:rowOff>47625</xdr:rowOff>
    </xdr:from>
    <xdr:to>
      <xdr:col>5</xdr:col>
      <xdr:colOff>180223</xdr:colOff>
      <xdr:row>31</xdr:row>
      <xdr:rowOff>155625</xdr:rowOff>
    </xdr:to>
    <xdr:pic>
      <xdr:nvPicPr>
        <xdr:cNvPr id="40" name="Picture 231">
          <a:extLst>
            <a:ext uri="{FF2B5EF4-FFF2-40B4-BE49-F238E27FC236}">
              <a16:creationId xmlns:a16="http://schemas.microsoft.com/office/drawing/2014/main" id="{91CFBFA1-A83D-422A-807C-5D86FC8B1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301875" y="563880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30</xdr:row>
      <xdr:rowOff>43657</xdr:rowOff>
    </xdr:from>
    <xdr:to>
      <xdr:col>5</xdr:col>
      <xdr:colOff>180223</xdr:colOff>
      <xdr:row>30</xdr:row>
      <xdr:rowOff>151657</xdr:rowOff>
    </xdr:to>
    <xdr:pic>
      <xdr:nvPicPr>
        <xdr:cNvPr id="41" name="Picture 232">
          <a:extLst>
            <a:ext uri="{FF2B5EF4-FFF2-40B4-BE49-F238E27FC236}">
              <a16:creationId xmlns:a16="http://schemas.microsoft.com/office/drawing/2014/main" id="{95EB8AF6-7090-4B4A-971C-9B1DA3888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301875" y="545385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33</xdr:row>
      <xdr:rowOff>47625</xdr:rowOff>
    </xdr:from>
    <xdr:to>
      <xdr:col>3</xdr:col>
      <xdr:colOff>196099</xdr:colOff>
      <xdr:row>33</xdr:row>
      <xdr:rowOff>155625</xdr:rowOff>
    </xdr:to>
    <xdr:pic>
      <xdr:nvPicPr>
        <xdr:cNvPr id="42" name="Picture 233">
          <a:extLst>
            <a:ext uri="{FF2B5EF4-FFF2-40B4-BE49-F238E27FC236}">
              <a16:creationId xmlns:a16="http://schemas.microsoft.com/office/drawing/2014/main" id="{05DBCEF2-AF98-47C0-BCDF-5441C7C4B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31876" y="600075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35</xdr:row>
      <xdr:rowOff>35718</xdr:rowOff>
    </xdr:from>
    <xdr:to>
      <xdr:col>5</xdr:col>
      <xdr:colOff>180223</xdr:colOff>
      <xdr:row>35</xdr:row>
      <xdr:rowOff>143718</xdr:rowOff>
    </xdr:to>
    <xdr:pic>
      <xdr:nvPicPr>
        <xdr:cNvPr id="43" name="Picture 234">
          <a:extLst>
            <a:ext uri="{FF2B5EF4-FFF2-40B4-BE49-F238E27FC236}">
              <a16:creationId xmlns:a16="http://schemas.microsoft.com/office/drawing/2014/main" id="{2D1603CC-3787-4BD9-AF91-AFA106EFF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301875" y="6350793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33</xdr:row>
      <xdr:rowOff>47625</xdr:rowOff>
    </xdr:from>
    <xdr:to>
      <xdr:col>5</xdr:col>
      <xdr:colOff>180223</xdr:colOff>
      <xdr:row>33</xdr:row>
      <xdr:rowOff>155625</xdr:rowOff>
    </xdr:to>
    <xdr:pic>
      <xdr:nvPicPr>
        <xdr:cNvPr id="44" name="Picture 235">
          <a:extLst>
            <a:ext uri="{FF2B5EF4-FFF2-40B4-BE49-F238E27FC236}">
              <a16:creationId xmlns:a16="http://schemas.microsoft.com/office/drawing/2014/main" id="{DB6CCCDB-F544-424A-B31A-7674DDD1D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301875" y="600075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34</xdr:row>
      <xdr:rowOff>51594</xdr:rowOff>
    </xdr:from>
    <xdr:to>
      <xdr:col>5</xdr:col>
      <xdr:colOff>180223</xdr:colOff>
      <xdr:row>34</xdr:row>
      <xdr:rowOff>159594</xdr:rowOff>
    </xdr:to>
    <xdr:pic>
      <xdr:nvPicPr>
        <xdr:cNvPr id="45" name="Picture 236">
          <a:extLst>
            <a:ext uri="{FF2B5EF4-FFF2-40B4-BE49-F238E27FC236}">
              <a16:creationId xmlns:a16="http://schemas.microsoft.com/office/drawing/2014/main" id="{6D4023D4-9441-4F88-8B3E-77AF68F66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301875" y="618569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32</xdr:row>
      <xdr:rowOff>43657</xdr:rowOff>
    </xdr:from>
    <xdr:to>
      <xdr:col>3</xdr:col>
      <xdr:colOff>196099</xdr:colOff>
      <xdr:row>32</xdr:row>
      <xdr:rowOff>151657</xdr:rowOff>
    </xdr:to>
    <xdr:pic>
      <xdr:nvPicPr>
        <xdr:cNvPr id="46" name="Picture 237">
          <a:extLst>
            <a:ext uri="{FF2B5EF4-FFF2-40B4-BE49-F238E27FC236}">
              <a16:creationId xmlns:a16="http://schemas.microsoft.com/office/drawing/2014/main" id="{53FD7F9C-1F13-4F3E-A9A3-EF6071914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031876" y="581580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35</xdr:row>
      <xdr:rowOff>35718</xdr:rowOff>
    </xdr:from>
    <xdr:to>
      <xdr:col>3</xdr:col>
      <xdr:colOff>196099</xdr:colOff>
      <xdr:row>35</xdr:row>
      <xdr:rowOff>143718</xdr:rowOff>
    </xdr:to>
    <xdr:pic>
      <xdr:nvPicPr>
        <xdr:cNvPr id="47" name="Picture 238">
          <a:extLst>
            <a:ext uri="{FF2B5EF4-FFF2-40B4-BE49-F238E27FC236}">
              <a16:creationId xmlns:a16="http://schemas.microsoft.com/office/drawing/2014/main" id="{EE4C28A2-D309-4495-BAC9-C7DF87119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031876" y="6350793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32</xdr:row>
      <xdr:rowOff>43657</xdr:rowOff>
    </xdr:from>
    <xdr:to>
      <xdr:col>5</xdr:col>
      <xdr:colOff>180223</xdr:colOff>
      <xdr:row>32</xdr:row>
      <xdr:rowOff>151657</xdr:rowOff>
    </xdr:to>
    <xdr:pic>
      <xdr:nvPicPr>
        <xdr:cNvPr id="48" name="Picture 239">
          <a:extLst>
            <a:ext uri="{FF2B5EF4-FFF2-40B4-BE49-F238E27FC236}">
              <a16:creationId xmlns:a16="http://schemas.microsoft.com/office/drawing/2014/main" id="{E87B403E-6C9A-44E5-B26F-32D16BA11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301875" y="581580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34</xdr:row>
      <xdr:rowOff>51594</xdr:rowOff>
    </xdr:from>
    <xdr:to>
      <xdr:col>3</xdr:col>
      <xdr:colOff>196099</xdr:colOff>
      <xdr:row>34</xdr:row>
      <xdr:rowOff>159594</xdr:rowOff>
    </xdr:to>
    <xdr:pic>
      <xdr:nvPicPr>
        <xdr:cNvPr id="49" name="Picture 240">
          <a:extLst>
            <a:ext uri="{FF2B5EF4-FFF2-40B4-BE49-F238E27FC236}">
              <a16:creationId xmlns:a16="http://schemas.microsoft.com/office/drawing/2014/main" id="{3421439C-9B2D-4516-BD4A-6E761B340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031876" y="618569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39</xdr:row>
      <xdr:rowOff>39686</xdr:rowOff>
    </xdr:from>
    <xdr:to>
      <xdr:col>3</xdr:col>
      <xdr:colOff>196099</xdr:colOff>
      <xdr:row>39</xdr:row>
      <xdr:rowOff>147686</xdr:rowOff>
    </xdr:to>
    <xdr:pic>
      <xdr:nvPicPr>
        <xdr:cNvPr id="50" name="Picture 241">
          <a:extLst>
            <a:ext uri="{FF2B5EF4-FFF2-40B4-BE49-F238E27FC236}">
              <a16:creationId xmlns:a16="http://schemas.microsoft.com/office/drawing/2014/main" id="{607E6A90-1130-4D8B-BC19-2E3A5BC73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031876" y="7078661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40</xdr:row>
      <xdr:rowOff>79375</xdr:rowOff>
    </xdr:from>
    <xdr:to>
      <xdr:col>3</xdr:col>
      <xdr:colOff>196099</xdr:colOff>
      <xdr:row>41</xdr:row>
      <xdr:rowOff>4812</xdr:rowOff>
    </xdr:to>
    <xdr:pic>
      <xdr:nvPicPr>
        <xdr:cNvPr id="51" name="Picture 242">
          <a:extLst>
            <a:ext uri="{FF2B5EF4-FFF2-40B4-BE49-F238E27FC236}">
              <a16:creationId xmlns:a16="http://schemas.microsoft.com/office/drawing/2014/main" id="{CC641315-7213-4D32-9147-65EB2B225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031876" y="7299325"/>
          <a:ext cx="164348" cy="106412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40</xdr:row>
      <xdr:rowOff>47625</xdr:rowOff>
    </xdr:from>
    <xdr:to>
      <xdr:col>5</xdr:col>
      <xdr:colOff>180223</xdr:colOff>
      <xdr:row>40</xdr:row>
      <xdr:rowOff>155625</xdr:rowOff>
    </xdr:to>
    <xdr:pic>
      <xdr:nvPicPr>
        <xdr:cNvPr id="52" name="Picture 243">
          <a:extLst>
            <a:ext uri="{FF2B5EF4-FFF2-40B4-BE49-F238E27FC236}">
              <a16:creationId xmlns:a16="http://schemas.microsoft.com/office/drawing/2014/main" id="{C5AD2BB7-124E-4B0A-8239-C363EDFA6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301875" y="7267575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39</xdr:row>
      <xdr:rowOff>39686</xdr:rowOff>
    </xdr:from>
    <xdr:to>
      <xdr:col>5</xdr:col>
      <xdr:colOff>180223</xdr:colOff>
      <xdr:row>39</xdr:row>
      <xdr:rowOff>147686</xdr:rowOff>
    </xdr:to>
    <xdr:pic>
      <xdr:nvPicPr>
        <xdr:cNvPr id="53" name="Picture 244">
          <a:extLst>
            <a:ext uri="{FF2B5EF4-FFF2-40B4-BE49-F238E27FC236}">
              <a16:creationId xmlns:a16="http://schemas.microsoft.com/office/drawing/2014/main" id="{F043F294-1E52-4466-9BC8-9F6388520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301875" y="7078661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43</xdr:row>
      <xdr:rowOff>55562</xdr:rowOff>
    </xdr:from>
    <xdr:to>
      <xdr:col>5</xdr:col>
      <xdr:colOff>180223</xdr:colOff>
      <xdr:row>43</xdr:row>
      <xdr:rowOff>163562</xdr:rowOff>
    </xdr:to>
    <xdr:pic>
      <xdr:nvPicPr>
        <xdr:cNvPr id="54" name="Picture 245">
          <a:extLst>
            <a:ext uri="{FF2B5EF4-FFF2-40B4-BE49-F238E27FC236}">
              <a16:creationId xmlns:a16="http://schemas.microsoft.com/office/drawing/2014/main" id="{9170FBA1-889E-4519-A671-31D06FA73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301875" y="781843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42</xdr:row>
      <xdr:rowOff>55562</xdr:rowOff>
    </xdr:from>
    <xdr:to>
      <xdr:col>3</xdr:col>
      <xdr:colOff>196099</xdr:colOff>
      <xdr:row>42</xdr:row>
      <xdr:rowOff>163562</xdr:rowOff>
    </xdr:to>
    <xdr:pic>
      <xdr:nvPicPr>
        <xdr:cNvPr id="55" name="Picture 246">
          <a:extLst>
            <a:ext uri="{FF2B5EF4-FFF2-40B4-BE49-F238E27FC236}">
              <a16:creationId xmlns:a16="http://schemas.microsoft.com/office/drawing/2014/main" id="{0E52ED70-EC2C-4421-80CB-3F82E777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031876" y="763746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42</xdr:row>
      <xdr:rowOff>55562</xdr:rowOff>
    </xdr:from>
    <xdr:to>
      <xdr:col>5</xdr:col>
      <xdr:colOff>180223</xdr:colOff>
      <xdr:row>42</xdr:row>
      <xdr:rowOff>163562</xdr:rowOff>
    </xdr:to>
    <xdr:pic>
      <xdr:nvPicPr>
        <xdr:cNvPr id="56" name="Picture 247">
          <a:extLst>
            <a:ext uri="{FF2B5EF4-FFF2-40B4-BE49-F238E27FC236}">
              <a16:creationId xmlns:a16="http://schemas.microsoft.com/office/drawing/2014/main" id="{18EBBA35-1247-4F0E-86D1-3E65FF6AD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301875" y="763746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44</xdr:row>
      <xdr:rowOff>55563</xdr:rowOff>
    </xdr:from>
    <xdr:to>
      <xdr:col>5</xdr:col>
      <xdr:colOff>180223</xdr:colOff>
      <xdr:row>44</xdr:row>
      <xdr:rowOff>163563</xdr:rowOff>
    </xdr:to>
    <xdr:pic>
      <xdr:nvPicPr>
        <xdr:cNvPr id="57" name="Picture 248">
          <a:extLst>
            <a:ext uri="{FF2B5EF4-FFF2-40B4-BE49-F238E27FC236}">
              <a16:creationId xmlns:a16="http://schemas.microsoft.com/office/drawing/2014/main" id="{9EA2E9AB-1602-459B-AC5C-6B2DA7056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301875" y="7999413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41</xdr:row>
      <xdr:rowOff>39687</xdr:rowOff>
    </xdr:from>
    <xdr:to>
      <xdr:col>3</xdr:col>
      <xdr:colOff>196099</xdr:colOff>
      <xdr:row>41</xdr:row>
      <xdr:rowOff>147687</xdr:rowOff>
    </xdr:to>
    <xdr:pic>
      <xdr:nvPicPr>
        <xdr:cNvPr id="58" name="Picture 249">
          <a:extLst>
            <a:ext uri="{FF2B5EF4-FFF2-40B4-BE49-F238E27FC236}">
              <a16:creationId xmlns:a16="http://schemas.microsoft.com/office/drawing/2014/main" id="{58B95FC1-6C77-4668-BCE7-6A58ABD56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031876" y="744061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43</xdr:row>
      <xdr:rowOff>55562</xdr:rowOff>
    </xdr:from>
    <xdr:to>
      <xdr:col>3</xdr:col>
      <xdr:colOff>196099</xdr:colOff>
      <xdr:row>43</xdr:row>
      <xdr:rowOff>163562</xdr:rowOff>
    </xdr:to>
    <xdr:pic>
      <xdr:nvPicPr>
        <xdr:cNvPr id="59" name="Picture 250">
          <a:extLst>
            <a:ext uri="{FF2B5EF4-FFF2-40B4-BE49-F238E27FC236}">
              <a16:creationId xmlns:a16="http://schemas.microsoft.com/office/drawing/2014/main" id="{6BBF591D-C053-4530-B3D6-D2EDA8B51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031876" y="781843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41</xdr:row>
      <xdr:rowOff>39687</xdr:rowOff>
    </xdr:from>
    <xdr:to>
      <xdr:col>5</xdr:col>
      <xdr:colOff>180223</xdr:colOff>
      <xdr:row>41</xdr:row>
      <xdr:rowOff>147687</xdr:rowOff>
    </xdr:to>
    <xdr:pic>
      <xdr:nvPicPr>
        <xdr:cNvPr id="60" name="Picture 251">
          <a:extLst>
            <a:ext uri="{FF2B5EF4-FFF2-40B4-BE49-F238E27FC236}">
              <a16:creationId xmlns:a16="http://schemas.microsoft.com/office/drawing/2014/main" id="{4678BCED-E16A-4998-80FA-6ADE18805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301875" y="744061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44</xdr:row>
      <xdr:rowOff>55563</xdr:rowOff>
    </xdr:from>
    <xdr:to>
      <xdr:col>3</xdr:col>
      <xdr:colOff>196099</xdr:colOff>
      <xdr:row>44</xdr:row>
      <xdr:rowOff>163563</xdr:rowOff>
    </xdr:to>
    <xdr:pic>
      <xdr:nvPicPr>
        <xdr:cNvPr id="61" name="Picture 252">
          <a:extLst>
            <a:ext uri="{FF2B5EF4-FFF2-40B4-BE49-F238E27FC236}">
              <a16:creationId xmlns:a16="http://schemas.microsoft.com/office/drawing/2014/main" id="{7E1E445F-90F9-480B-9941-04C6E3EA0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031876" y="7999413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48</xdr:row>
      <xdr:rowOff>39688</xdr:rowOff>
    </xdr:from>
    <xdr:to>
      <xdr:col>3</xdr:col>
      <xdr:colOff>196099</xdr:colOff>
      <xdr:row>48</xdr:row>
      <xdr:rowOff>147688</xdr:rowOff>
    </xdr:to>
    <xdr:pic>
      <xdr:nvPicPr>
        <xdr:cNvPr id="62" name="Picture 253">
          <a:extLst>
            <a:ext uri="{FF2B5EF4-FFF2-40B4-BE49-F238E27FC236}">
              <a16:creationId xmlns:a16="http://schemas.microsoft.com/office/drawing/2014/main" id="{36DAD04C-4ED6-4964-B2E1-5A05B5321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031876" y="870743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48</xdr:row>
      <xdr:rowOff>39688</xdr:rowOff>
    </xdr:from>
    <xdr:to>
      <xdr:col>5</xdr:col>
      <xdr:colOff>180223</xdr:colOff>
      <xdr:row>48</xdr:row>
      <xdr:rowOff>147688</xdr:rowOff>
    </xdr:to>
    <xdr:pic>
      <xdr:nvPicPr>
        <xdr:cNvPr id="63" name="Picture 254">
          <a:extLst>
            <a:ext uri="{FF2B5EF4-FFF2-40B4-BE49-F238E27FC236}">
              <a16:creationId xmlns:a16="http://schemas.microsoft.com/office/drawing/2014/main" id="{587745D2-4985-4743-AFE2-C07A004FF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301875" y="870743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50</xdr:row>
      <xdr:rowOff>39687</xdr:rowOff>
    </xdr:from>
    <xdr:to>
      <xdr:col>5</xdr:col>
      <xdr:colOff>180223</xdr:colOff>
      <xdr:row>50</xdr:row>
      <xdr:rowOff>147687</xdr:rowOff>
    </xdr:to>
    <xdr:pic>
      <xdr:nvPicPr>
        <xdr:cNvPr id="64" name="Picture 255">
          <a:extLst>
            <a:ext uri="{FF2B5EF4-FFF2-40B4-BE49-F238E27FC236}">
              <a16:creationId xmlns:a16="http://schemas.microsoft.com/office/drawing/2014/main" id="{5B8536A0-E042-465D-8D8B-BC4163EBF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301875" y="906938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49</xdr:row>
      <xdr:rowOff>47624</xdr:rowOff>
    </xdr:from>
    <xdr:to>
      <xdr:col>5</xdr:col>
      <xdr:colOff>180223</xdr:colOff>
      <xdr:row>49</xdr:row>
      <xdr:rowOff>155624</xdr:rowOff>
    </xdr:to>
    <xdr:pic>
      <xdr:nvPicPr>
        <xdr:cNvPr id="65" name="Picture 256">
          <a:extLst>
            <a:ext uri="{FF2B5EF4-FFF2-40B4-BE49-F238E27FC236}">
              <a16:creationId xmlns:a16="http://schemas.microsoft.com/office/drawing/2014/main" id="{5207032B-BE96-4B7E-8A79-16F042614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301875" y="8896349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52</xdr:row>
      <xdr:rowOff>31750</xdr:rowOff>
    </xdr:from>
    <xdr:to>
      <xdr:col>5</xdr:col>
      <xdr:colOff>180223</xdr:colOff>
      <xdr:row>52</xdr:row>
      <xdr:rowOff>139750</xdr:rowOff>
    </xdr:to>
    <xdr:pic>
      <xdr:nvPicPr>
        <xdr:cNvPr id="66" name="Picture 257">
          <a:extLst>
            <a:ext uri="{FF2B5EF4-FFF2-40B4-BE49-F238E27FC236}">
              <a16:creationId xmlns:a16="http://schemas.microsoft.com/office/drawing/2014/main" id="{C80D7D08-64FA-459E-89B4-9FCEF2166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301875" y="942340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50</xdr:row>
      <xdr:rowOff>39687</xdr:rowOff>
    </xdr:from>
    <xdr:to>
      <xdr:col>3</xdr:col>
      <xdr:colOff>196099</xdr:colOff>
      <xdr:row>50</xdr:row>
      <xdr:rowOff>147687</xdr:rowOff>
    </xdr:to>
    <xdr:pic>
      <xdr:nvPicPr>
        <xdr:cNvPr id="67" name="Picture 258">
          <a:extLst>
            <a:ext uri="{FF2B5EF4-FFF2-40B4-BE49-F238E27FC236}">
              <a16:creationId xmlns:a16="http://schemas.microsoft.com/office/drawing/2014/main" id="{D9C387CB-AE52-40C5-8AEC-82EB8D67E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031876" y="9069387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51</xdr:row>
      <xdr:rowOff>39688</xdr:rowOff>
    </xdr:from>
    <xdr:to>
      <xdr:col>5</xdr:col>
      <xdr:colOff>180223</xdr:colOff>
      <xdr:row>51</xdr:row>
      <xdr:rowOff>147688</xdr:rowOff>
    </xdr:to>
    <xdr:pic>
      <xdr:nvPicPr>
        <xdr:cNvPr id="68" name="Picture 259">
          <a:extLst>
            <a:ext uri="{FF2B5EF4-FFF2-40B4-BE49-F238E27FC236}">
              <a16:creationId xmlns:a16="http://schemas.microsoft.com/office/drawing/2014/main" id="{930C6E9E-C5FC-42C6-AD94-AFE412803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301875" y="9250363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53</xdr:row>
      <xdr:rowOff>31749</xdr:rowOff>
    </xdr:from>
    <xdr:to>
      <xdr:col>3</xdr:col>
      <xdr:colOff>196099</xdr:colOff>
      <xdr:row>53</xdr:row>
      <xdr:rowOff>139749</xdr:rowOff>
    </xdr:to>
    <xdr:pic>
      <xdr:nvPicPr>
        <xdr:cNvPr id="69" name="Picture 260">
          <a:extLst>
            <a:ext uri="{FF2B5EF4-FFF2-40B4-BE49-F238E27FC236}">
              <a16:creationId xmlns:a16="http://schemas.microsoft.com/office/drawing/2014/main" id="{47347B59-C7A3-4AAE-88CF-CBD9A1DEE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31876" y="960437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49</xdr:row>
      <xdr:rowOff>47624</xdr:rowOff>
    </xdr:from>
    <xdr:to>
      <xdr:col>3</xdr:col>
      <xdr:colOff>196099</xdr:colOff>
      <xdr:row>49</xdr:row>
      <xdr:rowOff>155624</xdr:rowOff>
    </xdr:to>
    <xdr:pic>
      <xdr:nvPicPr>
        <xdr:cNvPr id="70" name="Picture 261">
          <a:extLst>
            <a:ext uri="{FF2B5EF4-FFF2-40B4-BE49-F238E27FC236}">
              <a16:creationId xmlns:a16="http://schemas.microsoft.com/office/drawing/2014/main" id="{E418ACF8-DC5C-4D78-A2A9-D4596F3A6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031876" y="8896349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53</xdr:row>
      <xdr:rowOff>31749</xdr:rowOff>
    </xdr:from>
    <xdr:to>
      <xdr:col>5</xdr:col>
      <xdr:colOff>180223</xdr:colOff>
      <xdr:row>53</xdr:row>
      <xdr:rowOff>139749</xdr:rowOff>
    </xdr:to>
    <xdr:pic>
      <xdr:nvPicPr>
        <xdr:cNvPr id="71" name="Picture 262">
          <a:extLst>
            <a:ext uri="{FF2B5EF4-FFF2-40B4-BE49-F238E27FC236}">
              <a16:creationId xmlns:a16="http://schemas.microsoft.com/office/drawing/2014/main" id="{0F4CE6CF-8C79-43F7-9CDD-5555A336A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301875" y="960437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51</xdr:row>
      <xdr:rowOff>39688</xdr:rowOff>
    </xdr:from>
    <xdr:to>
      <xdr:col>3</xdr:col>
      <xdr:colOff>196099</xdr:colOff>
      <xdr:row>51</xdr:row>
      <xdr:rowOff>147688</xdr:rowOff>
    </xdr:to>
    <xdr:pic>
      <xdr:nvPicPr>
        <xdr:cNvPr id="72" name="Picture 263">
          <a:extLst>
            <a:ext uri="{FF2B5EF4-FFF2-40B4-BE49-F238E27FC236}">
              <a16:creationId xmlns:a16="http://schemas.microsoft.com/office/drawing/2014/main" id="{13996570-28F0-403C-A416-D1B09B2C9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031876" y="9250363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52</xdr:row>
      <xdr:rowOff>31750</xdr:rowOff>
    </xdr:from>
    <xdr:to>
      <xdr:col>3</xdr:col>
      <xdr:colOff>196099</xdr:colOff>
      <xdr:row>52</xdr:row>
      <xdr:rowOff>139750</xdr:rowOff>
    </xdr:to>
    <xdr:pic>
      <xdr:nvPicPr>
        <xdr:cNvPr id="73" name="Picture 264">
          <a:extLst>
            <a:ext uri="{FF2B5EF4-FFF2-40B4-BE49-F238E27FC236}">
              <a16:creationId xmlns:a16="http://schemas.microsoft.com/office/drawing/2014/main" id="{4E17EC10-8616-4205-B6AF-1B4F2C891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031876" y="942340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58</xdr:row>
      <xdr:rowOff>47625</xdr:rowOff>
    </xdr:from>
    <xdr:to>
      <xdr:col>3</xdr:col>
      <xdr:colOff>196099</xdr:colOff>
      <xdr:row>58</xdr:row>
      <xdr:rowOff>155625</xdr:rowOff>
    </xdr:to>
    <xdr:pic>
      <xdr:nvPicPr>
        <xdr:cNvPr id="74" name="Picture 265">
          <a:extLst>
            <a:ext uri="{FF2B5EF4-FFF2-40B4-BE49-F238E27FC236}">
              <a16:creationId xmlns:a16="http://schemas.microsoft.com/office/drawing/2014/main" id="{A1B5914B-D28C-45ED-AE00-37322A42D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031876" y="10525125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60</xdr:row>
      <xdr:rowOff>47625</xdr:rowOff>
    </xdr:from>
    <xdr:to>
      <xdr:col>5</xdr:col>
      <xdr:colOff>180223</xdr:colOff>
      <xdr:row>60</xdr:row>
      <xdr:rowOff>155625</xdr:rowOff>
    </xdr:to>
    <xdr:pic>
      <xdr:nvPicPr>
        <xdr:cNvPr id="75" name="Picture 266">
          <a:extLst>
            <a:ext uri="{FF2B5EF4-FFF2-40B4-BE49-F238E27FC236}">
              <a16:creationId xmlns:a16="http://schemas.microsoft.com/office/drawing/2014/main" id="{096E3D95-6600-4FD1-9898-E45FBEEC0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301875" y="10887075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57</xdr:row>
      <xdr:rowOff>39687</xdr:rowOff>
    </xdr:from>
    <xdr:to>
      <xdr:col>5</xdr:col>
      <xdr:colOff>180223</xdr:colOff>
      <xdr:row>57</xdr:row>
      <xdr:rowOff>147687</xdr:rowOff>
    </xdr:to>
    <xdr:pic>
      <xdr:nvPicPr>
        <xdr:cNvPr id="76" name="Picture 267">
          <a:extLst>
            <a:ext uri="{FF2B5EF4-FFF2-40B4-BE49-F238E27FC236}">
              <a16:creationId xmlns:a16="http://schemas.microsoft.com/office/drawing/2014/main" id="{8EC025DF-338B-41CB-90BD-6A6C97952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301875" y="1033621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60</xdr:row>
      <xdr:rowOff>47625</xdr:rowOff>
    </xdr:from>
    <xdr:to>
      <xdr:col>3</xdr:col>
      <xdr:colOff>196099</xdr:colOff>
      <xdr:row>60</xdr:row>
      <xdr:rowOff>155625</xdr:rowOff>
    </xdr:to>
    <xdr:pic>
      <xdr:nvPicPr>
        <xdr:cNvPr id="77" name="Picture 268">
          <a:extLst>
            <a:ext uri="{FF2B5EF4-FFF2-40B4-BE49-F238E27FC236}">
              <a16:creationId xmlns:a16="http://schemas.microsoft.com/office/drawing/2014/main" id="{BF1CA783-CD13-457A-92C9-B98050D83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031876" y="10887075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62</xdr:row>
      <xdr:rowOff>43656</xdr:rowOff>
    </xdr:from>
    <xdr:to>
      <xdr:col>5</xdr:col>
      <xdr:colOff>180223</xdr:colOff>
      <xdr:row>62</xdr:row>
      <xdr:rowOff>151656</xdr:rowOff>
    </xdr:to>
    <xdr:pic>
      <xdr:nvPicPr>
        <xdr:cNvPr id="78" name="Picture 269">
          <a:extLst>
            <a:ext uri="{FF2B5EF4-FFF2-40B4-BE49-F238E27FC236}">
              <a16:creationId xmlns:a16="http://schemas.microsoft.com/office/drawing/2014/main" id="{9ED36169-DCC4-40B1-A52C-DAFA3028D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301875" y="11245056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61</xdr:row>
      <xdr:rowOff>47624</xdr:rowOff>
    </xdr:from>
    <xdr:to>
      <xdr:col>3</xdr:col>
      <xdr:colOff>196099</xdr:colOff>
      <xdr:row>61</xdr:row>
      <xdr:rowOff>155624</xdr:rowOff>
    </xdr:to>
    <xdr:pic>
      <xdr:nvPicPr>
        <xdr:cNvPr id="79" name="Picture 270">
          <a:extLst>
            <a:ext uri="{FF2B5EF4-FFF2-40B4-BE49-F238E27FC236}">
              <a16:creationId xmlns:a16="http://schemas.microsoft.com/office/drawing/2014/main" id="{8E1835DC-E442-4908-A935-D00196CFC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031876" y="11068049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58</xdr:row>
      <xdr:rowOff>47625</xdr:rowOff>
    </xdr:from>
    <xdr:to>
      <xdr:col>5</xdr:col>
      <xdr:colOff>180223</xdr:colOff>
      <xdr:row>58</xdr:row>
      <xdr:rowOff>155625</xdr:rowOff>
    </xdr:to>
    <xdr:pic>
      <xdr:nvPicPr>
        <xdr:cNvPr id="80" name="Picture 271">
          <a:extLst>
            <a:ext uri="{FF2B5EF4-FFF2-40B4-BE49-F238E27FC236}">
              <a16:creationId xmlns:a16="http://schemas.microsoft.com/office/drawing/2014/main" id="{E0572CF7-435C-474A-976D-C95D6BC11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301875" y="10525125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59</xdr:row>
      <xdr:rowOff>43655</xdr:rowOff>
    </xdr:from>
    <xdr:to>
      <xdr:col>5</xdr:col>
      <xdr:colOff>180223</xdr:colOff>
      <xdr:row>59</xdr:row>
      <xdr:rowOff>151655</xdr:rowOff>
    </xdr:to>
    <xdr:pic>
      <xdr:nvPicPr>
        <xdr:cNvPr id="81" name="Picture 272">
          <a:extLst>
            <a:ext uri="{FF2B5EF4-FFF2-40B4-BE49-F238E27FC236}">
              <a16:creationId xmlns:a16="http://schemas.microsoft.com/office/drawing/2014/main" id="{A4185E82-BA1E-4EAA-A12A-365C69575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301875" y="1070213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57</xdr:row>
      <xdr:rowOff>39687</xdr:rowOff>
    </xdr:from>
    <xdr:to>
      <xdr:col>3</xdr:col>
      <xdr:colOff>196099</xdr:colOff>
      <xdr:row>57</xdr:row>
      <xdr:rowOff>147687</xdr:rowOff>
    </xdr:to>
    <xdr:pic>
      <xdr:nvPicPr>
        <xdr:cNvPr id="82" name="Picture 273">
          <a:extLst>
            <a:ext uri="{FF2B5EF4-FFF2-40B4-BE49-F238E27FC236}">
              <a16:creationId xmlns:a16="http://schemas.microsoft.com/office/drawing/2014/main" id="{72E6533D-F687-456A-9229-247D7547D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031876" y="1033621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61</xdr:row>
      <xdr:rowOff>47624</xdr:rowOff>
    </xdr:from>
    <xdr:to>
      <xdr:col>5</xdr:col>
      <xdr:colOff>180223</xdr:colOff>
      <xdr:row>61</xdr:row>
      <xdr:rowOff>155624</xdr:rowOff>
    </xdr:to>
    <xdr:pic>
      <xdr:nvPicPr>
        <xdr:cNvPr id="83" name="Picture 274">
          <a:extLst>
            <a:ext uri="{FF2B5EF4-FFF2-40B4-BE49-F238E27FC236}">
              <a16:creationId xmlns:a16="http://schemas.microsoft.com/office/drawing/2014/main" id="{DE40894F-C5DA-4778-AC7F-171100733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301875" y="11068049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59</xdr:row>
      <xdr:rowOff>43655</xdr:rowOff>
    </xdr:from>
    <xdr:to>
      <xdr:col>3</xdr:col>
      <xdr:colOff>196099</xdr:colOff>
      <xdr:row>59</xdr:row>
      <xdr:rowOff>151655</xdr:rowOff>
    </xdr:to>
    <xdr:pic>
      <xdr:nvPicPr>
        <xdr:cNvPr id="84" name="Picture 275">
          <a:extLst>
            <a:ext uri="{FF2B5EF4-FFF2-40B4-BE49-F238E27FC236}">
              <a16:creationId xmlns:a16="http://schemas.microsoft.com/office/drawing/2014/main" id="{B261D673-1905-4396-A810-95A899243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31876" y="10702130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62</xdr:row>
      <xdr:rowOff>43656</xdr:rowOff>
    </xdr:from>
    <xdr:to>
      <xdr:col>3</xdr:col>
      <xdr:colOff>196099</xdr:colOff>
      <xdr:row>62</xdr:row>
      <xdr:rowOff>151656</xdr:rowOff>
    </xdr:to>
    <xdr:pic>
      <xdr:nvPicPr>
        <xdr:cNvPr id="85" name="Picture 276">
          <a:extLst>
            <a:ext uri="{FF2B5EF4-FFF2-40B4-BE49-F238E27FC236}">
              <a16:creationId xmlns:a16="http://schemas.microsoft.com/office/drawing/2014/main" id="{9CDC5B1E-3ED8-4AA4-8E7E-9F3E9D9AB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31876" y="11245056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67</xdr:row>
      <xdr:rowOff>39687</xdr:rowOff>
    </xdr:from>
    <xdr:to>
      <xdr:col>3</xdr:col>
      <xdr:colOff>196099</xdr:colOff>
      <xdr:row>67</xdr:row>
      <xdr:rowOff>147687</xdr:rowOff>
    </xdr:to>
    <xdr:pic>
      <xdr:nvPicPr>
        <xdr:cNvPr id="86" name="Picture 277">
          <a:extLst>
            <a:ext uri="{FF2B5EF4-FFF2-40B4-BE49-F238E27FC236}">
              <a16:creationId xmlns:a16="http://schemas.microsoft.com/office/drawing/2014/main" id="{F1217237-621F-478B-83F1-BB59E0BB8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031876" y="1214596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67</xdr:row>
      <xdr:rowOff>39687</xdr:rowOff>
    </xdr:from>
    <xdr:to>
      <xdr:col>5</xdr:col>
      <xdr:colOff>180223</xdr:colOff>
      <xdr:row>67</xdr:row>
      <xdr:rowOff>147687</xdr:rowOff>
    </xdr:to>
    <xdr:pic>
      <xdr:nvPicPr>
        <xdr:cNvPr id="87" name="Picture 278">
          <a:extLst>
            <a:ext uri="{FF2B5EF4-FFF2-40B4-BE49-F238E27FC236}">
              <a16:creationId xmlns:a16="http://schemas.microsoft.com/office/drawing/2014/main" id="{7E9731FB-E608-4E7D-930E-4F5DE382D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301875" y="1214596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66</xdr:row>
      <xdr:rowOff>39688</xdr:rowOff>
    </xdr:from>
    <xdr:to>
      <xdr:col>3</xdr:col>
      <xdr:colOff>196099</xdr:colOff>
      <xdr:row>66</xdr:row>
      <xdr:rowOff>147688</xdr:rowOff>
    </xdr:to>
    <xdr:pic>
      <xdr:nvPicPr>
        <xdr:cNvPr id="88" name="Picture 279">
          <a:extLst>
            <a:ext uri="{FF2B5EF4-FFF2-40B4-BE49-F238E27FC236}">
              <a16:creationId xmlns:a16="http://schemas.microsoft.com/office/drawing/2014/main" id="{FC6640DC-3DC9-4B74-B609-16EDD5CCB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031876" y="1196498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66</xdr:row>
      <xdr:rowOff>39688</xdr:rowOff>
    </xdr:from>
    <xdr:to>
      <xdr:col>5</xdr:col>
      <xdr:colOff>180223</xdr:colOff>
      <xdr:row>66</xdr:row>
      <xdr:rowOff>147688</xdr:rowOff>
    </xdr:to>
    <xdr:pic>
      <xdr:nvPicPr>
        <xdr:cNvPr id="89" name="Picture 280">
          <a:extLst>
            <a:ext uri="{FF2B5EF4-FFF2-40B4-BE49-F238E27FC236}">
              <a16:creationId xmlns:a16="http://schemas.microsoft.com/office/drawing/2014/main" id="{E2EF02F6-8600-4544-9094-49190FE7E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301875" y="1196498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69</xdr:row>
      <xdr:rowOff>47624</xdr:rowOff>
    </xdr:from>
    <xdr:to>
      <xdr:col>3</xdr:col>
      <xdr:colOff>196099</xdr:colOff>
      <xdr:row>69</xdr:row>
      <xdr:rowOff>155624</xdr:rowOff>
    </xdr:to>
    <xdr:pic>
      <xdr:nvPicPr>
        <xdr:cNvPr id="90" name="Picture 281">
          <a:extLst>
            <a:ext uri="{FF2B5EF4-FFF2-40B4-BE49-F238E27FC236}">
              <a16:creationId xmlns:a16="http://schemas.microsoft.com/office/drawing/2014/main" id="{88F8C693-F5CF-47C2-B6C2-2CF62E649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031876" y="12515849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71</xdr:row>
      <xdr:rowOff>39687</xdr:rowOff>
    </xdr:from>
    <xdr:to>
      <xdr:col>5</xdr:col>
      <xdr:colOff>180223</xdr:colOff>
      <xdr:row>71</xdr:row>
      <xdr:rowOff>147687</xdr:rowOff>
    </xdr:to>
    <xdr:pic>
      <xdr:nvPicPr>
        <xdr:cNvPr id="91" name="Picture 282">
          <a:extLst>
            <a:ext uri="{FF2B5EF4-FFF2-40B4-BE49-F238E27FC236}">
              <a16:creationId xmlns:a16="http://schemas.microsoft.com/office/drawing/2014/main" id="{D3687610-9A97-4D1E-AF71-12337EB36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301875" y="1286986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68</xdr:row>
      <xdr:rowOff>39688</xdr:rowOff>
    </xdr:from>
    <xdr:to>
      <xdr:col>5</xdr:col>
      <xdr:colOff>180223</xdr:colOff>
      <xdr:row>68</xdr:row>
      <xdr:rowOff>147688</xdr:rowOff>
    </xdr:to>
    <xdr:pic>
      <xdr:nvPicPr>
        <xdr:cNvPr id="92" name="Picture 283">
          <a:extLst>
            <a:ext uri="{FF2B5EF4-FFF2-40B4-BE49-F238E27FC236}">
              <a16:creationId xmlns:a16="http://schemas.microsoft.com/office/drawing/2014/main" id="{45DB801E-00EF-4C93-BECE-C6ADA173F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301875" y="1232693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69</xdr:row>
      <xdr:rowOff>47624</xdr:rowOff>
    </xdr:from>
    <xdr:to>
      <xdr:col>5</xdr:col>
      <xdr:colOff>180223</xdr:colOff>
      <xdr:row>69</xdr:row>
      <xdr:rowOff>155624</xdr:rowOff>
    </xdr:to>
    <xdr:pic>
      <xdr:nvPicPr>
        <xdr:cNvPr id="93" name="Picture 284">
          <a:extLst>
            <a:ext uri="{FF2B5EF4-FFF2-40B4-BE49-F238E27FC236}">
              <a16:creationId xmlns:a16="http://schemas.microsoft.com/office/drawing/2014/main" id="{2DF3A960-DE90-478A-8491-4CD55E379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301875" y="12515849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70</xdr:row>
      <xdr:rowOff>51594</xdr:rowOff>
    </xdr:from>
    <xdr:to>
      <xdr:col>5</xdr:col>
      <xdr:colOff>180223</xdr:colOff>
      <xdr:row>70</xdr:row>
      <xdr:rowOff>159594</xdr:rowOff>
    </xdr:to>
    <xdr:pic>
      <xdr:nvPicPr>
        <xdr:cNvPr id="94" name="Picture 285">
          <a:extLst>
            <a:ext uri="{FF2B5EF4-FFF2-40B4-BE49-F238E27FC236}">
              <a16:creationId xmlns:a16="http://schemas.microsoft.com/office/drawing/2014/main" id="{F3789ADF-F8F7-4535-AC82-48372ABC9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301875" y="12700794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68</xdr:row>
      <xdr:rowOff>39688</xdr:rowOff>
    </xdr:from>
    <xdr:to>
      <xdr:col>3</xdr:col>
      <xdr:colOff>196099</xdr:colOff>
      <xdr:row>68</xdr:row>
      <xdr:rowOff>147688</xdr:rowOff>
    </xdr:to>
    <xdr:pic>
      <xdr:nvPicPr>
        <xdr:cNvPr id="95" name="Picture 286">
          <a:extLst>
            <a:ext uri="{FF2B5EF4-FFF2-40B4-BE49-F238E27FC236}">
              <a16:creationId xmlns:a16="http://schemas.microsoft.com/office/drawing/2014/main" id="{DEDF1DE4-9FD1-4C8A-ADFF-E61A7AB55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031876" y="12326938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71</xdr:row>
      <xdr:rowOff>39687</xdr:rowOff>
    </xdr:from>
    <xdr:to>
      <xdr:col>3</xdr:col>
      <xdr:colOff>196099</xdr:colOff>
      <xdr:row>71</xdr:row>
      <xdr:rowOff>147687</xdr:rowOff>
    </xdr:to>
    <xdr:pic>
      <xdr:nvPicPr>
        <xdr:cNvPr id="96" name="Picture 287">
          <a:extLst>
            <a:ext uri="{FF2B5EF4-FFF2-40B4-BE49-F238E27FC236}">
              <a16:creationId xmlns:a16="http://schemas.microsoft.com/office/drawing/2014/main" id="{79D1F310-14F0-429A-9863-96794507F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031876" y="12869862"/>
          <a:ext cx="164348" cy="1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70</xdr:row>
      <xdr:rowOff>51594</xdr:rowOff>
    </xdr:from>
    <xdr:to>
      <xdr:col>3</xdr:col>
      <xdr:colOff>196099</xdr:colOff>
      <xdr:row>70</xdr:row>
      <xdr:rowOff>159594</xdr:rowOff>
    </xdr:to>
    <xdr:pic>
      <xdr:nvPicPr>
        <xdr:cNvPr id="97" name="Picture 288">
          <a:extLst>
            <a:ext uri="{FF2B5EF4-FFF2-40B4-BE49-F238E27FC236}">
              <a16:creationId xmlns:a16="http://schemas.microsoft.com/office/drawing/2014/main" id="{0E193139-CABD-4E2A-94C2-73039CD24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031876" y="12700794"/>
          <a:ext cx="164348" cy="1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otbollsvmem.s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2:Q38"/>
  <sheetViews>
    <sheetView workbookViewId="0">
      <selection activeCell="F28" sqref="F28"/>
    </sheetView>
  </sheetViews>
  <sheetFormatPr defaultColWidth="9.140625" defaultRowHeight="15" x14ac:dyDescent="0.25"/>
  <cols>
    <col min="1" max="1" width="4.85546875" style="53" customWidth="1"/>
    <col min="2" max="2" width="36.28515625" style="53" bestFit="1" customWidth="1"/>
    <col min="3" max="3" width="14.42578125" style="53" bestFit="1" customWidth="1"/>
    <col min="4" max="4" width="10.42578125" style="53" bestFit="1" customWidth="1"/>
    <col min="5" max="5" width="9.140625" style="53"/>
    <col min="6" max="6" width="15.5703125" style="53" customWidth="1"/>
    <col min="7" max="13" width="9.140625" style="53"/>
    <col min="14" max="14" width="9.140625" style="53" customWidth="1"/>
    <col min="15" max="16384" width="9.140625" style="53"/>
  </cols>
  <sheetData>
    <row r="2" spans="2:17" ht="21" x14ac:dyDescent="0.35">
      <c r="B2" s="52" t="s">
        <v>100</v>
      </c>
      <c r="F2" s="54" t="s">
        <v>124</v>
      </c>
      <c r="Q2" s="54" t="s">
        <v>171</v>
      </c>
    </row>
    <row r="3" spans="2:17" x14ac:dyDescent="0.25">
      <c r="B3" s="55" t="s">
        <v>104</v>
      </c>
    </row>
    <row r="4" spans="2:17" x14ac:dyDescent="0.25">
      <c r="B4" s="56" t="s">
        <v>101</v>
      </c>
      <c r="C4" s="56" t="s">
        <v>102</v>
      </c>
      <c r="F4" s="57" t="s">
        <v>197</v>
      </c>
      <c r="Q4" s="58" t="s">
        <v>199</v>
      </c>
    </row>
    <row r="5" spans="2:17" x14ac:dyDescent="0.25">
      <c r="B5" s="56" t="s">
        <v>103</v>
      </c>
      <c r="C5" s="56" t="s">
        <v>202</v>
      </c>
      <c r="Q5" s="53" t="s">
        <v>172</v>
      </c>
    </row>
    <row r="6" spans="2:17" x14ac:dyDescent="0.25">
      <c r="B6" s="56" t="s">
        <v>206</v>
      </c>
      <c r="F6" s="53" t="s">
        <v>125</v>
      </c>
      <c r="Q6" s="53" t="s">
        <v>189</v>
      </c>
    </row>
    <row r="7" spans="2:17" x14ac:dyDescent="0.25">
      <c r="B7" s="56"/>
      <c r="F7" s="53" t="s">
        <v>198</v>
      </c>
    </row>
    <row r="8" spans="2:17" x14ac:dyDescent="0.25">
      <c r="B8" s="55" t="s">
        <v>190</v>
      </c>
      <c r="Q8" s="58" t="s">
        <v>173</v>
      </c>
    </row>
    <row r="9" spans="2:17" x14ac:dyDescent="0.25">
      <c r="B9" s="56" t="s">
        <v>112</v>
      </c>
      <c r="C9" s="56" t="s">
        <v>114</v>
      </c>
      <c r="F9" s="57" t="s">
        <v>121</v>
      </c>
      <c r="Q9" s="53" t="s">
        <v>174</v>
      </c>
    </row>
    <row r="10" spans="2:17" x14ac:dyDescent="0.25">
      <c r="B10" s="56" t="s">
        <v>105</v>
      </c>
      <c r="C10" s="56" t="s">
        <v>115</v>
      </c>
      <c r="F10" s="53" t="s">
        <v>137</v>
      </c>
    </row>
    <row r="11" spans="2:17" x14ac:dyDescent="0.25">
      <c r="B11" s="56" t="s">
        <v>106</v>
      </c>
      <c r="C11" s="56" t="s">
        <v>116</v>
      </c>
      <c r="F11" s="53" t="s">
        <v>138</v>
      </c>
      <c r="Q11" s="58" t="s">
        <v>175</v>
      </c>
    </row>
    <row r="12" spans="2:17" x14ac:dyDescent="0.25">
      <c r="B12" s="53" t="s">
        <v>136</v>
      </c>
      <c r="C12" s="56" t="s">
        <v>117</v>
      </c>
      <c r="F12" s="53" t="s">
        <v>122</v>
      </c>
      <c r="Q12" s="53" t="s">
        <v>201</v>
      </c>
    </row>
    <row r="13" spans="2:17" x14ac:dyDescent="0.25">
      <c r="B13" s="56" t="s">
        <v>107</v>
      </c>
      <c r="C13" s="56" t="s">
        <v>117</v>
      </c>
      <c r="D13" s="56"/>
      <c r="F13" s="53" t="s">
        <v>126</v>
      </c>
    </row>
    <row r="14" spans="2:17" x14ac:dyDescent="0.25">
      <c r="Q14" s="58" t="s">
        <v>176</v>
      </c>
    </row>
    <row r="15" spans="2:17" x14ac:dyDescent="0.25">
      <c r="B15" s="55" t="s">
        <v>70</v>
      </c>
      <c r="F15" s="199" t="s">
        <v>181</v>
      </c>
      <c r="Q15" s="58" t="s">
        <v>177</v>
      </c>
    </row>
    <row r="16" spans="2:17" x14ac:dyDescent="0.25">
      <c r="B16" s="53" t="s">
        <v>72</v>
      </c>
      <c r="C16" s="56" t="s">
        <v>120</v>
      </c>
      <c r="F16" s="53" t="s">
        <v>182</v>
      </c>
      <c r="Q16" s="53" t="s">
        <v>178</v>
      </c>
    </row>
    <row r="17" spans="2:17" x14ac:dyDescent="0.25">
      <c r="B17" s="56" t="s">
        <v>108</v>
      </c>
      <c r="C17" s="56" t="s">
        <v>120</v>
      </c>
      <c r="Q17" s="53" t="s">
        <v>183</v>
      </c>
    </row>
    <row r="18" spans="2:17" x14ac:dyDescent="0.25">
      <c r="B18" s="56" t="s">
        <v>143</v>
      </c>
      <c r="C18" s="56" t="s">
        <v>145</v>
      </c>
      <c r="E18" s="56"/>
      <c r="F18" s="57" t="s">
        <v>123</v>
      </c>
    </row>
    <row r="19" spans="2:17" x14ac:dyDescent="0.25">
      <c r="B19" s="56"/>
      <c r="F19" s="53" t="s">
        <v>156</v>
      </c>
      <c r="Q19" s="58" t="s">
        <v>179</v>
      </c>
    </row>
    <row r="20" spans="2:17" x14ac:dyDescent="0.25">
      <c r="B20" s="57" t="s">
        <v>95</v>
      </c>
      <c r="F20" s="53" t="s">
        <v>142</v>
      </c>
      <c r="Q20" s="58" t="s">
        <v>191</v>
      </c>
    </row>
    <row r="21" spans="2:17" x14ac:dyDescent="0.25">
      <c r="B21" s="53" t="s">
        <v>94</v>
      </c>
      <c r="C21" s="53" t="s">
        <v>204</v>
      </c>
      <c r="Q21" s="53" t="s">
        <v>180</v>
      </c>
    </row>
    <row r="22" spans="2:17" x14ac:dyDescent="0.25">
      <c r="B22" s="53" t="s">
        <v>118</v>
      </c>
      <c r="C22" s="53" t="s">
        <v>168</v>
      </c>
      <c r="D22" s="53" t="s">
        <v>164</v>
      </c>
      <c r="F22" s="57" t="s">
        <v>157</v>
      </c>
      <c r="Q22" s="53" t="s">
        <v>192</v>
      </c>
    </row>
    <row r="23" spans="2:17" x14ac:dyDescent="0.25">
      <c r="B23" s="53" t="s">
        <v>28</v>
      </c>
      <c r="C23" s="53" t="s">
        <v>186</v>
      </c>
      <c r="D23" s="53" t="s">
        <v>165</v>
      </c>
      <c r="F23" s="53" t="s">
        <v>193</v>
      </c>
    </row>
    <row r="24" spans="2:17" x14ac:dyDescent="0.25">
      <c r="B24" s="53" t="s">
        <v>119</v>
      </c>
      <c r="C24" s="53" t="s">
        <v>169</v>
      </c>
      <c r="D24" s="53" t="s">
        <v>166</v>
      </c>
      <c r="F24" s="53" t="s">
        <v>188</v>
      </c>
      <c r="Q24" s="57" t="s">
        <v>184</v>
      </c>
    </row>
    <row r="25" spans="2:17" x14ac:dyDescent="0.25">
      <c r="B25" s="53" t="s">
        <v>45</v>
      </c>
      <c r="C25" s="53" t="s">
        <v>170</v>
      </c>
      <c r="D25" s="53" t="s">
        <v>167</v>
      </c>
      <c r="Q25" s="53" t="s">
        <v>194</v>
      </c>
    </row>
    <row r="26" spans="2:17" x14ac:dyDescent="0.25">
      <c r="B26" s="53" t="s">
        <v>49</v>
      </c>
      <c r="C26" s="53" t="s">
        <v>170</v>
      </c>
      <c r="D26" s="53" t="s">
        <v>167</v>
      </c>
      <c r="F26" s="58" t="s">
        <v>132</v>
      </c>
      <c r="Q26" s="53" t="s">
        <v>185</v>
      </c>
    </row>
    <row r="27" spans="2:17" x14ac:dyDescent="0.25">
      <c r="B27" s="53" t="s">
        <v>70</v>
      </c>
      <c r="C27" s="53" t="s">
        <v>152</v>
      </c>
      <c r="D27" s="53" t="s">
        <v>155</v>
      </c>
      <c r="F27" s="53" t="s">
        <v>133</v>
      </c>
    </row>
    <row r="28" spans="2:17" x14ac:dyDescent="0.25">
      <c r="B28" s="57" t="s">
        <v>97</v>
      </c>
      <c r="C28" s="60" t="s">
        <v>203</v>
      </c>
      <c r="F28" s="53" t="s">
        <v>134</v>
      </c>
    </row>
    <row r="29" spans="2:17" x14ac:dyDescent="0.25">
      <c r="B29" s="57"/>
      <c r="C29" s="57"/>
      <c r="F29" s="53" t="s">
        <v>135</v>
      </c>
    </row>
    <row r="30" spans="2:17" x14ac:dyDescent="0.25">
      <c r="F30" s="53" t="s">
        <v>139</v>
      </c>
    </row>
    <row r="32" spans="2:17" x14ac:dyDescent="0.25">
      <c r="F32" s="57" t="s">
        <v>140</v>
      </c>
    </row>
    <row r="33" spans="2:6" x14ac:dyDescent="0.25">
      <c r="F33" s="53" t="s">
        <v>153</v>
      </c>
    </row>
    <row r="34" spans="2:6" x14ac:dyDescent="0.25">
      <c r="F34" s="53" t="s">
        <v>154</v>
      </c>
    </row>
    <row r="35" spans="2:6" x14ac:dyDescent="0.25">
      <c r="F35" s="53" t="s">
        <v>187</v>
      </c>
    </row>
    <row r="36" spans="2:6" x14ac:dyDescent="0.25">
      <c r="F36" s="53" t="s">
        <v>158</v>
      </c>
    </row>
    <row r="38" spans="2:6" x14ac:dyDescent="0.25">
      <c r="B38" s="200" t="s">
        <v>205</v>
      </c>
      <c r="F38" s="53" t="s">
        <v>141</v>
      </c>
    </row>
  </sheetData>
  <sheetProtection algorithmName="SHA-512" hashValue="k2//fElDPXAAbZynG1T8bUHCGFtv6ebA6yRRh80SuYKzOHDzxi313I6qRaI93t4qzZkT6tjaNIa6gqDkhtxkxA==" saltValue="S5gUJhMp7paJ0d7FiayAmw==" spinCount="100000" sheet="1" objects="1" scenarios="1"/>
  <hyperlinks>
    <hyperlink ref="B38" r:id="rId1" xr:uid="{0D2FCB70-52E0-44D9-8CA3-58C2C53F9371}"/>
  </hyperlinks>
  <pageMargins left="0.7" right="0.7" top="0.75" bottom="0.75" header="0.3" footer="0.3"/>
  <pageSetup paperSize="9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BR122"/>
  <sheetViews>
    <sheetView showGridLines="0" tabSelected="1" zoomScaleNormal="100" zoomScaleSheetLayoutView="90" workbookViewId="0">
      <selection activeCell="I7" sqref="I7"/>
    </sheetView>
  </sheetViews>
  <sheetFormatPr defaultColWidth="9.140625" defaultRowHeight="14.25" customHeight="1" x14ac:dyDescent="0.25"/>
  <cols>
    <col min="1" max="1" width="2.85546875" style="5" customWidth="1"/>
    <col min="2" max="2" width="5.85546875" style="69" customWidth="1"/>
    <col min="3" max="3" width="6.28515625" style="37" bestFit="1" customWidth="1"/>
    <col min="4" max="4" width="17.7109375" style="37" bestFit="1" customWidth="1"/>
    <col min="5" max="5" width="1.5703125" style="23" bestFit="1" customWidth="1"/>
    <col min="6" max="6" width="17.7109375" style="37" bestFit="1" customWidth="1"/>
    <col min="7" max="7" width="4.85546875" style="23" customWidth="1"/>
    <col min="8" max="8" width="1.5703125" style="23" bestFit="1" customWidth="1"/>
    <col min="9" max="9" width="4.85546875" style="23" customWidth="1"/>
    <col min="10" max="10" width="6.42578125" style="1" customWidth="1"/>
    <col min="11" max="11" width="5.85546875" style="2" bestFit="1" customWidth="1"/>
    <col min="12" max="12" width="20.5703125" style="5" bestFit="1" customWidth="1"/>
    <col min="13" max="13" width="5.7109375" style="37" customWidth="1"/>
    <col min="14" max="14" width="6.7109375" style="38" bestFit="1" customWidth="1"/>
    <col min="15" max="16" width="5.7109375" style="5" customWidth="1"/>
    <col min="17" max="17" width="5.85546875" style="5" customWidth="1"/>
    <col min="18" max="18" width="17.42578125" style="23" customWidth="1"/>
    <col min="19" max="20" width="6.7109375" style="23" customWidth="1"/>
    <col min="21" max="21" width="6.5703125" style="23" customWidth="1"/>
    <col min="22" max="22" width="19.42578125" style="124" customWidth="1"/>
    <col min="23" max="23" width="5.7109375" style="5" hidden="1" customWidth="1"/>
    <col min="24" max="24" width="16.28515625" style="88" hidden="1" customWidth="1"/>
    <col min="25" max="27" width="5.7109375" style="89" hidden="1" customWidth="1"/>
    <col min="28" max="28" width="16.28515625" style="88" hidden="1" customWidth="1"/>
    <col min="29" max="29" width="5.7109375" style="72" hidden="1" customWidth="1"/>
    <col min="30" max="30" width="5.42578125" style="73" hidden="1" customWidth="1"/>
    <col min="31" max="31" width="4.7109375" style="73" hidden="1" customWidth="1"/>
    <col min="32" max="36" width="9.140625" style="72" hidden="1" customWidth="1"/>
    <col min="37" max="37" width="9.85546875" style="72" hidden="1" customWidth="1"/>
    <col min="38" max="38" width="13.85546875" style="72" hidden="1" customWidth="1"/>
    <col min="39" max="39" width="5.7109375" style="72" hidden="1" customWidth="1"/>
    <col min="40" max="40" width="3.85546875" style="72" hidden="1" customWidth="1"/>
    <col min="41" max="41" width="3.28515625" style="72" hidden="1" customWidth="1"/>
    <col min="42" max="42" width="3.7109375" style="72" hidden="1" customWidth="1"/>
    <col min="43" max="43" width="9.140625" style="72" hidden="1" customWidth="1"/>
    <col min="44" max="44" width="4.85546875" style="72" hidden="1" customWidth="1"/>
    <col min="45" max="45" width="13.85546875" style="72" hidden="1" customWidth="1"/>
    <col min="46" max="46" width="5.7109375" style="72" hidden="1" customWidth="1"/>
    <col min="47" max="49" width="4.7109375" style="72" hidden="1" customWidth="1"/>
    <col min="50" max="50" width="5.85546875" style="45" hidden="1" customWidth="1"/>
    <col min="51" max="51" width="6.28515625" style="42" hidden="1" customWidth="1"/>
    <col min="52" max="52" width="16.28515625" style="42" hidden="1" customWidth="1"/>
    <col min="53" max="53" width="1.5703125" style="102" hidden="1" customWidth="1"/>
    <col min="54" max="54" width="16.28515625" style="42" hidden="1" customWidth="1"/>
    <col min="55" max="55" width="5.140625" style="102" hidden="1" customWidth="1"/>
    <col min="56" max="56" width="1.5703125" style="102" hidden="1" customWidth="1"/>
    <col min="57" max="57" width="5.140625" style="102" hidden="1" customWidth="1"/>
    <col min="58" max="58" width="6.42578125" style="102" hidden="1" customWidth="1"/>
    <col min="59" max="59" width="6.42578125" style="77" hidden="1" customWidth="1"/>
    <col min="60" max="60" width="5.85546875" style="78" hidden="1" customWidth="1"/>
    <col min="61" max="61" width="28.85546875" style="79" hidden="1" customWidth="1"/>
    <col min="62" max="62" width="34" style="45" hidden="1" customWidth="1"/>
    <col min="63" max="63" width="18.7109375" style="125" hidden="1" customWidth="1"/>
    <col min="64" max="64" width="16.28515625" style="78" hidden="1" customWidth="1"/>
    <col min="65" max="65" width="5.7109375" style="78" customWidth="1"/>
    <col min="66" max="66" width="5.85546875" style="5" customWidth="1"/>
    <col min="67" max="67" width="10.140625" style="5" customWidth="1"/>
    <col min="68" max="68" width="0.140625" style="5" customWidth="1"/>
    <col min="69" max="69" width="28" style="5" customWidth="1"/>
    <col min="70" max="16384" width="9.140625" style="5"/>
  </cols>
  <sheetData>
    <row r="1" spans="2:70" ht="14.25" customHeight="1" x14ac:dyDescent="0.25">
      <c r="K1" s="2" t="e">
        <f>count</f>
        <v>#NAME?</v>
      </c>
      <c r="AL1" s="172"/>
      <c r="AY1" s="173"/>
      <c r="AZ1" s="173"/>
      <c r="BA1" s="174"/>
      <c r="BB1" s="173"/>
      <c r="BL1" s="79"/>
    </row>
    <row r="2" spans="2:70" ht="14.25" customHeight="1" x14ac:dyDescent="0.25">
      <c r="B2" s="67" t="s">
        <v>0</v>
      </c>
      <c r="C2" s="68"/>
      <c r="D2" s="117"/>
      <c r="E2" s="27"/>
      <c r="F2" s="68"/>
      <c r="G2" s="27"/>
      <c r="H2" s="27"/>
      <c r="I2" s="117"/>
      <c r="L2" s="3"/>
      <c r="M2" s="4"/>
      <c r="N2" s="4"/>
      <c r="O2" s="4"/>
      <c r="P2" s="4"/>
      <c r="R2" s="6" t="s">
        <v>70</v>
      </c>
      <c r="S2" s="6"/>
      <c r="T2" s="6"/>
      <c r="U2" s="6"/>
      <c r="V2" s="69"/>
      <c r="X2" s="70"/>
      <c r="Y2" s="71"/>
      <c r="Z2" s="71"/>
      <c r="AA2" s="71"/>
      <c r="AB2" s="70"/>
      <c r="AX2" s="175"/>
      <c r="AY2" s="175"/>
      <c r="AZ2" s="175"/>
      <c r="BA2" s="179"/>
      <c r="BB2" s="175"/>
      <c r="BC2" s="179"/>
      <c r="BD2" s="179"/>
      <c r="BE2" s="179"/>
      <c r="BF2" s="179"/>
      <c r="BG2" s="176"/>
      <c r="BI2" s="6"/>
      <c r="BJ2" s="69"/>
      <c r="BK2" s="69"/>
      <c r="BL2" s="79"/>
      <c r="BM2" s="79"/>
    </row>
    <row r="3" spans="2:70" ht="12.75" x14ac:dyDescent="0.25">
      <c r="B3" s="11" t="s">
        <v>2</v>
      </c>
      <c r="C3" s="80" t="s">
        <v>3</v>
      </c>
      <c r="D3" s="207" t="s">
        <v>2</v>
      </c>
      <c r="E3" s="208"/>
      <c r="F3" s="209"/>
      <c r="G3" s="213" t="s">
        <v>4</v>
      </c>
      <c r="H3" s="213"/>
      <c r="I3" s="213"/>
      <c r="J3" s="7" t="s">
        <v>69</v>
      </c>
      <c r="L3" s="8" t="s">
        <v>0</v>
      </c>
      <c r="M3" s="9" t="s">
        <v>75</v>
      </c>
      <c r="N3" s="9" t="s">
        <v>76</v>
      </c>
      <c r="O3" s="9" t="s">
        <v>77</v>
      </c>
      <c r="P3" s="10" t="s">
        <v>87</v>
      </c>
      <c r="R3" s="11" t="s">
        <v>71</v>
      </c>
      <c r="S3" s="208" t="s">
        <v>113</v>
      </c>
      <c r="T3" s="208"/>
      <c r="U3" s="208"/>
      <c r="V3" s="214"/>
      <c r="X3" s="81" t="s">
        <v>73</v>
      </c>
      <c r="Y3" s="81" t="s">
        <v>75</v>
      </c>
      <c r="Z3" s="81" t="s">
        <v>76</v>
      </c>
      <c r="AA3" s="81" t="s">
        <v>77</v>
      </c>
      <c r="AB3" s="81" t="s">
        <v>74</v>
      </c>
      <c r="AC3" s="81" t="s">
        <v>75</v>
      </c>
      <c r="AD3" s="81" t="s">
        <v>76</v>
      </c>
      <c r="AE3" s="81" t="s">
        <v>77</v>
      </c>
      <c r="AG3" s="82" t="s">
        <v>85</v>
      </c>
      <c r="AH3" s="82" t="s">
        <v>84</v>
      </c>
      <c r="AI3" s="82" t="s">
        <v>83</v>
      </c>
      <c r="AJ3" s="81" t="s">
        <v>82</v>
      </c>
      <c r="AK3" s="81" t="s">
        <v>81</v>
      </c>
      <c r="AL3" s="81" t="s">
        <v>78</v>
      </c>
      <c r="AM3" s="81" t="s">
        <v>75</v>
      </c>
      <c r="AN3" s="81" t="s">
        <v>76</v>
      </c>
      <c r="AO3" s="81" t="s">
        <v>77</v>
      </c>
      <c r="AP3" s="82" t="s">
        <v>79</v>
      </c>
      <c r="AR3" s="81" t="s">
        <v>80</v>
      </c>
      <c r="AS3" s="81" t="s">
        <v>78</v>
      </c>
      <c r="AT3" s="81" t="s">
        <v>75</v>
      </c>
      <c r="AU3" s="81" t="s">
        <v>76</v>
      </c>
      <c r="AV3" s="81" t="s">
        <v>77</v>
      </c>
      <c r="AW3" s="82" t="s">
        <v>79</v>
      </c>
      <c r="AX3" s="175"/>
      <c r="AY3" s="175"/>
      <c r="AZ3" s="206"/>
      <c r="BA3" s="206"/>
      <c r="BB3" s="206"/>
      <c r="BC3" s="206"/>
      <c r="BD3" s="206"/>
      <c r="BE3" s="206"/>
      <c r="BF3" s="179"/>
      <c r="BG3" s="179"/>
      <c r="BI3" s="6"/>
      <c r="BJ3" s="152"/>
      <c r="BK3" s="152"/>
      <c r="BL3" s="24"/>
      <c r="BM3" s="24"/>
      <c r="BO3" s="148" t="s">
        <v>99</v>
      </c>
      <c r="BP3" s="149"/>
      <c r="BQ3" s="163" t="s">
        <v>98</v>
      </c>
      <c r="BR3" s="164" t="s">
        <v>75</v>
      </c>
    </row>
    <row r="4" spans="2:70" ht="14.25" customHeight="1" x14ac:dyDescent="0.25">
      <c r="B4" s="16">
        <v>1</v>
      </c>
      <c r="C4" s="83">
        <v>44885</v>
      </c>
      <c r="D4" s="84" t="s">
        <v>200</v>
      </c>
      <c r="E4" s="85" t="s">
        <v>6</v>
      </c>
      <c r="F4" s="86" t="s">
        <v>57</v>
      </c>
      <c r="G4" s="62"/>
      <c r="H4" s="87" t="s">
        <v>6</v>
      </c>
      <c r="I4" s="62"/>
      <c r="J4" s="64" t="str">
        <f>IF(OR(ISBLANK(G4),ISBLANK(I4)),"",IF(G4&gt;I4,1,IF(G4&lt;I4,2,"X")))</f>
        <v/>
      </c>
      <c r="K4" s="12">
        <v>1</v>
      </c>
      <c r="L4" s="13" t="str">
        <f>VLOOKUP(K4,$AR$4:$AW$7,2,FALSE)</f>
        <v>Qatar</v>
      </c>
      <c r="M4" s="14">
        <f>VLOOKUP(L4,$AS$4:$AW$7,2,FALSE)</f>
        <v>0</v>
      </c>
      <c r="N4" s="14">
        <f>VLOOKUP(L4,$AS$4:$AW$7,3,FALSE)</f>
        <v>0</v>
      </c>
      <c r="O4" s="14">
        <f>VLOOKUP(L4,$AS$4:$AW$7,4,FALSE)</f>
        <v>0</v>
      </c>
      <c r="P4" s="15">
        <f>VLOOKUP(L4,$AS$4:$AW$7,5,FALSE)</f>
        <v>0</v>
      </c>
      <c r="R4" s="16" t="s">
        <v>72</v>
      </c>
      <c r="S4" s="210"/>
      <c r="T4" s="211"/>
      <c r="U4" s="211"/>
      <c r="V4" s="212"/>
      <c r="X4" s="88" t="str">
        <f>D4</f>
        <v>Qatar</v>
      </c>
      <c r="Y4" s="89">
        <f t="shared" ref="Y4:Y9" si="0">IF(G4="",0,IF($G4&lt;$I4,0,IF($G4=$I4,1,3)))</f>
        <v>0</v>
      </c>
      <c r="Z4" s="89">
        <f t="shared" ref="Z4:Z9" si="1">G4</f>
        <v>0</v>
      </c>
      <c r="AA4" s="89">
        <f t="shared" ref="AA4:AA9" si="2">I4</f>
        <v>0</v>
      </c>
      <c r="AB4" s="88" t="str">
        <f>F4</f>
        <v>Ecuador</v>
      </c>
      <c r="AC4" s="89">
        <f t="shared" ref="AC4:AC9" si="3">IF(I4="",0,IF(I4&lt;G4,0,IF(I4=G4,1,3)))</f>
        <v>0</v>
      </c>
      <c r="AD4" s="73">
        <f t="shared" ref="AD4:AD9" si="4">I4</f>
        <v>0</v>
      </c>
      <c r="AE4" s="73">
        <f t="shared" ref="AE4:AE9" si="5">G4</f>
        <v>0</v>
      </c>
      <c r="AG4" s="72">
        <f>RANK($AH4,$AH$4:$AH$7,1)+COUNTIF($AH$4:$AH4,$AH4)-1</f>
        <v>1</v>
      </c>
      <c r="AH4" s="72">
        <f>AI4+AJ4+AK4</f>
        <v>1</v>
      </c>
      <c r="AI4" s="72">
        <f>SUMPRODUCT(($AM$4:$AM$7=AM4)*($AP$4:$AP$7=AP4)*($AN$4:$AN$7&gt;AN4))</f>
        <v>0</v>
      </c>
      <c r="AJ4" s="72">
        <f>SUMPRODUCT(($AM$4:$AM$7=AM4)*($AP$4:$AP$7&gt;AP4))</f>
        <v>0</v>
      </c>
      <c r="AK4" s="72">
        <f>RANK(AM4,$AM$4:$AM$7)</f>
        <v>1</v>
      </c>
      <c r="AL4" s="88" t="s">
        <v>200</v>
      </c>
      <c r="AM4" s="72">
        <f>SUMIF($X$4:$X$9,$AL4,$Y$4:$Y$9)+SUMIF($AB$4:$AB$9,$AL4,$AC$4:$AC$9)</f>
        <v>0</v>
      </c>
      <c r="AN4" s="72">
        <f>SUMIF($X$4:$X$9,AL4,$Z$4:$Z$9)+SUMIF($AB$4:$AB$9,AL4,$AD$4:$AD$9)</f>
        <v>0</v>
      </c>
      <c r="AO4" s="72">
        <f>SUMIF($AB$4:$AB$9,AL4,$AE$4:$AE$9)+SUMIF($X$4:$X$9,AL4,$AA$4:$AA$9)</f>
        <v>0</v>
      </c>
      <c r="AP4" s="72">
        <f>AN4-AO4</f>
        <v>0</v>
      </c>
      <c r="AR4" s="72">
        <v>1</v>
      </c>
      <c r="AS4" s="72" t="str">
        <f>VLOOKUP($AR4,$AG$4:$AP$7,6,FALSE)</f>
        <v>Qatar</v>
      </c>
      <c r="AT4" s="72">
        <f>VLOOKUP($AS4,$AL$4:$AP$7,2,FALSE)</f>
        <v>0</v>
      </c>
      <c r="AU4" s="72">
        <f>VLOOKUP($AS4,$AL$4:$AP$7,3,FALSE)</f>
        <v>0</v>
      </c>
      <c r="AV4" s="72">
        <f>VLOOKUP($AS4,$AL$4:$AP$7,4,FALSE)</f>
        <v>0</v>
      </c>
      <c r="AW4" s="72">
        <f>VLOOKUP($AS4,$AL$4:$AP$7,5,FALSE)</f>
        <v>0</v>
      </c>
      <c r="AX4" s="177"/>
      <c r="AY4" s="180"/>
      <c r="AZ4" s="177"/>
      <c r="BA4" s="181"/>
      <c r="BB4" s="177"/>
      <c r="BC4" s="181"/>
      <c r="BD4" s="181"/>
      <c r="BE4" s="181"/>
      <c r="BF4" s="181"/>
      <c r="BG4" s="178"/>
      <c r="BH4" s="94"/>
      <c r="BI4" s="69"/>
      <c r="BJ4" s="32"/>
      <c r="BK4" s="195"/>
      <c r="BL4" s="49"/>
      <c r="BM4" s="49"/>
      <c r="BO4" s="87">
        <v>1</v>
      </c>
      <c r="BP4" s="16"/>
      <c r="BQ4" s="157"/>
      <c r="BR4" s="158"/>
    </row>
    <row r="5" spans="2:70" ht="14.25" customHeight="1" x14ac:dyDescent="0.25">
      <c r="B5" s="16">
        <v>2</v>
      </c>
      <c r="C5" s="95">
        <v>44886</v>
      </c>
      <c r="D5" s="84" t="s">
        <v>151</v>
      </c>
      <c r="E5" s="85" t="s">
        <v>6</v>
      </c>
      <c r="F5" s="86" t="s">
        <v>159</v>
      </c>
      <c r="G5" s="62"/>
      <c r="H5" s="87" t="s">
        <v>6</v>
      </c>
      <c r="I5" s="62"/>
      <c r="J5" s="64" t="str">
        <f t="shared" ref="J5:J9" si="6">IF(OR(ISBLANK(G5),ISBLANK(I5)),"",IF(G5&gt;I5,1,IF(G5&lt;I5,2,"X")))</f>
        <v/>
      </c>
      <c r="K5" s="2">
        <v>2</v>
      </c>
      <c r="L5" s="17" t="str">
        <f>VLOOKUP(K5,$AR$4:$AW$7,2,FALSE)</f>
        <v>Ecuador</v>
      </c>
      <c r="M5" s="18">
        <f>VLOOKUP(L5,$AS$4:$AW$7,2,FALSE)</f>
        <v>0</v>
      </c>
      <c r="N5" s="18">
        <f>VLOOKUP(L5,$AS$4:$AW$7,3,FALSE)</f>
        <v>0</v>
      </c>
      <c r="O5" s="18">
        <f>VLOOKUP(L5,$AS$4:$AW$7,4,FALSE)</f>
        <v>0</v>
      </c>
      <c r="P5" s="19">
        <f>VLOOKUP(L5,$AS$4:$AW$7,5,FALSE)</f>
        <v>0</v>
      </c>
      <c r="R5" s="16" t="s">
        <v>108</v>
      </c>
      <c r="S5" s="210"/>
      <c r="T5" s="211"/>
      <c r="U5" s="211"/>
      <c r="V5" s="212"/>
      <c r="X5" s="88" t="str">
        <f t="shared" ref="X5:X9" si="7">D5</f>
        <v>Senegal</v>
      </c>
      <c r="Y5" s="89">
        <f t="shared" si="0"/>
        <v>0</v>
      </c>
      <c r="Z5" s="89">
        <f t="shared" si="1"/>
        <v>0</v>
      </c>
      <c r="AA5" s="89">
        <f t="shared" si="2"/>
        <v>0</v>
      </c>
      <c r="AB5" s="88" t="str">
        <f t="shared" ref="AB5:AB9" si="8">F5</f>
        <v>Nederländerna</v>
      </c>
      <c r="AC5" s="89">
        <f t="shared" si="3"/>
        <v>0</v>
      </c>
      <c r="AD5" s="73">
        <f t="shared" si="4"/>
        <v>0</v>
      </c>
      <c r="AE5" s="73">
        <f t="shared" si="5"/>
        <v>0</v>
      </c>
      <c r="AG5" s="72">
        <f>RANK($AH5,$AH$4:$AH$7,1)+COUNTIF($AH$4:$AH5,$AH5)-1</f>
        <v>2</v>
      </c>
      <c r="AH5" s="72">
        <f t="shared" ref="AH5:AH7" si="9">AI5+AJ5+AK5</f>
        <v>1</v>
      </c>
      <c r="AI5" s="72">
        <f t="shared" ref="AI5:AI7" si="10">SUMPRODUCT(($AM$4:$AM$7=AM5)*($AP$4:$AP$7=AP5)*($AN$4:$AN$7&gt;AN5))</f>
        <v>0</v>
      </c>
      <c r="AJ5" s="72">
        <f t="shared" ref="AJ5:AJ7" si="11">SUMPRODUCT(($AM$4:$AM$7=AM5)*($AP$4:$AP$7&gt;AP5))</f>
        <v>0</v>
      </c>
      <c r="AK5" s="72">
        <f t="shared" ref="AK5:AK7" si="12">RANK(AM5,$AM$4:$AM$7)</f>
        <v>1</v>
      </c>
      <c r="AL5" s="88" t="s">
        <v>57</v>
      </c>
      <c r="AM5" s="72">
        <f t="shared" ref="AM5:AM7" si="13">SUMIF($X$4:$X$9,$AL5,$Y$4:$Y$9)+SUMIF($AB$4:$AB$9,$AL5,$AC$4:$AC$9)</f>
        <v>0</v>
      </c>
      <c r="AN5" s="72">
        <f>SUMIF($X$4:$X$9,AL5,$Z$4:$Z$9)+SUMIF($AB$4:$AB$9,AL5,$AD$4:$AD$9)</f>
        <v>0</v>
      </c>
      <c r="AO5" s="72">
        <f t="shared" ref="AO5:AO7" si="14">SUMIF($AB$4:$AB$9,AL5,$AE$4:$AE$9)+SUMIF($X$4:$X$9,AL5,$AA$4:$AA$9)</f>
        <v>0</v>
      </c>
      <c r="AP5" s="72">
        <f t="shared" ref="AP5:AP7" si="15">AN5-AO5</f>
        <v>0</v>
      </c>
      <c r="AR5" s="72">
        <v>2</v>
      </c>
      <c r="AS5" s="72" t="str">
        <f t="shared" ref="AS5:AS7" si="16">VLOOKUP($AR5,$AG$4:$AP$7,6,FALSE)</f>
        <v>Ecuador</v>
      </c>
      <c r="AT5" s="72">
        <f t="shared" ref="AT5:AT7" si="17">VLOOKUP($AS5,$AL$4:$AP$7,2,FALSE)</f>
        <v>0</v>
      </c>
      <c r="AU5" s="72">
        <f t="shared" ref="AU5:AU7" si="18">VLOOKUP($AS5,$AL$4:$AP$7,3,FALSE)</f>
        <v>0</v>
      </c>
      <c r="AV5" s="72">
        <f t="shared" ref="AV5:AV7" si="19">VLOOKUP($AS5,$AL$4:$AP$7,4,FALSE)</f>
        <v>0</v>
      </c>
      <c r="AW5" s="72">
        <f t="shared" ref="AW5:AW7" si="20">VLOOKUP($AS5,$AL$4:$AP$7,5,FALSE)</f>
        <v>0</v>
      </c>
      <c r="AX5" s="177"/>
      <c r="AY5" s="182"/>
      <c r="AZ5" s="177"/>
      <c r="BA5" s="181"/>
      <c r="BB5" s="177"/>
      <c r="BC5" s="181"/>
      <c r="BD5" s="181"/>
      <c r="BE5" s="181"/>
      <c r="BF5" s="181"/>
      <c r="BG5" s="178"/>
      <c r="BI5" s="69"/>
      <c r="BJ5" s="196"/>
      <c r="BK5" s="195"/>
      <c r="BL5" s="49"/>
      <c r="BM5" s="49"/>
      <c r="BO5" s="87">
        <v>2</v>
      </c>
      <c r="BP5" s="16"/>
      <c r="BQ5" s="157"/>
      <c r="BR5" s="158"/>
    </row>
    <row r="6" spans="2:70" ht="14.25" customHeight="1" x14ac:dyDescent="0.25">
      <c r="B6" s="16">
        <v>18</v>
      </c>
      <c r="C6" s="95">
        <v>44890</v>
      </c>
      <c r="D6" s="97" t="s">
        <v>200</v>
      </c>
      <c r="E6" s="85" t="s">
        <v>6</v>
      </c>
      <c r="F6" s="86" t="s">
        <v>151</v>
      </c>
      <c r="G6" s="62"/>
      <c r="H6" s="87" t="s">
        <v>6</v>
      </c>
      <c r="I6" s="62"/>
      <c r="J6" s="64" t="str">
        <f t="shared" si="6"/>
        <v/>
      </c>
      <c r="K6" s="2">
        <v>3</v>
      </c>
      <c r="L6" s="20" t="str">
        <f>VLOOKUP(K6,$AR$4:$AW$7,2,FALSE)</f>
        <v>Senegal</v>
      </c>
      <c r="M6" s="14">
        <f>VLOOKUP(L6,$AS$4:$AW$7,2,FALSE)</f>
        <v>0</v>
      </c>
      <c r="N6" s="14">
        <f>VLOOKUP(L6,$AS$4:$AW$7,3,FALSE)</f>
        <v>0</v>
      </c>
      <c r="O6" s="14">
        <f>VLOOKUP(L6,$AS$4:$AW$7,4,FALSE)</f>
        <v>0</v>
      </c>
      <c r="P6" s="15">
        <f>VLOOKUP(L6,$AS$4:$AW$7,5,FALSE)</f>
        <v>0</v>
      </c>
      <c r="R6" s="16" t="s">
        <v>143</v>
      </c>
      <c r="S6" s="210"/>
      <c r="T6" s="211"/>
      <c r="U6" s="211"/>
      <c r="V6" s="212"/>
      <c r="X6" s="88" t="str">
        <f t="shared" si="7"/>
        <v>Qatar</v>
      </c>
      <c r="Y6" s="89">
        <f t="shared" si="0"/>
        <v>0</v>
      </c>
      <c r="Z6" s="89">
        <f t="shared" si="1"/>
        <v>0</v>
      </c>
      <c r="AA6" s="89">
        <f t="shared" si="2"/>
        <v>0</v>
      </c>
      <c r="AB6" s="88" t="str">
        <f t="shared" si="8"/>
        <v>Senegal</v>
      </c>
      <c r="AC6" s="89">
        <f t="shared" si="3"/>
        <v>0</v>
      </c>
      <c r="AD6" s="73">
        <f t="shared" si="4"/>
        <v>0</v>
      </c>
      <c r="AE6" s="73">
        <f t="shared" si="5"/>
        <v>0</v>
      </c>
      <c r="AG6" s="72">
        <f>RANK($AH6,$AH$4:$AH$7,1)+COUNTIF($AH$4:$AH6,$AH6)-1</f>
        <v>3</v>
      </c>
      <c r="AH6" s="72">
        <f t="shared" si="9"/>
        <v>1</v>
      </c>
      <c r="AI6" s="72">
        <f t="shared" si="10"/>
        <v>0</v>
      </c>
      <c r="AJ6" s="72">
        <f t="shared" si="11"/>
        <v>0</v>
      </c>
      <c r="AK6" s="72">
        <f t="shared" si="12"/>
        <v>1</v>
      </c>
      <c r="AL6" s="88" t="s">
        <v>151</v>
      </c>
      <c r="AM6" s="72">
        <f t="shared" si="13"/>
        <v>0</v>
      </c>
      <c r="AN6" s="72">
        <f>SUMIF($X$4:$X$9,AL6,$Z$4:$Z$9)+SUMIF($AB$4:$AB$9,AL6,$AD$4:$AD$9)</f>
        <v>0</v>
      </c>
      <c r="AO6" s="72">
        <f t="shared" si="14"/>
        <v>0</v>
      </c>
      <c r="AP6" s="72">
        <f t="shared" si="15"/>
        <v>0</v>
      </c>
      <c r="AR6" s="72">
        <v>3</v>
      </c>
      <c r="AS6" s="72" t="str">
        <f t="shared" si="16"/>
        <v>Senegal</v>
      </c>
      <c r="AT6" s="72">
        <f t="shared" si="17"/>
        <v>0</v>
      </c>
      <c r="AU6" s="72">
        <f t="shared" si="18"/>
        <v>0</v>
      </c>
      <c r="AV6" s="72">
        <f t="shared" si="19"/>
        <v>0</v>
      </c>
      <c r="AW6" s="72">
        <f t="shared" si="20"/>
        <v>0</v>
      </c>
      <c r="AX6" s="177"/>
      <c r="AY6" s="182"/>
      <c r="AZ6" s="177"/>
      <c r="BA6" s="181"/>
      <c r="BB6" s="177"/>
      <c r="BC6" s="181"/>
      <c r="BD6" s="181"/>
      <c r="BE6" s="181"/>
      <c r="BF6" s="181"/>
      <c r="BG6" s="178"/>
      <c r="BL6" s="49"/>
      <c r="BM6" s="49"/>
      <c r="BO6" s="150">
        <v>3</v>
      </c>
      <c r="BP6" s="151"/>
      <c r="BQ6" s="159"/>
      <c r="BR6" s="160"/>
    </row>
    <row r="7" spans="2:70" ht="14.25" customHeight="1" x14ac:dyDescent="0.25">
      <c r="B7" s="16">
        <v>19</v>
      </c>
      <c r="C7" s="95">
        <v>44890</v>
      </c>
      <c r="D7" s="84" t="s">
        <v>159</v>
      </c>
      <c r="E7" s="85" t="s">
        <v>6</v>
      </c>
      <c r="F7" s="86" t="s">
        <v>57</v>
      </c>
      <c r="G7" s="62"/>
      <c r="H7" s="87" t="s">
        <v>6</v>
      </c>
      <c r="I7" s="62"/>
      <c r="J7" s="64" t="str">
        <f t="shared" si="6"/>
        <v/>
      </c>
      <c r="K7" s="2">
        <v>4</v>
      </c>
      <c r="L7" s="21" t="str">
        <f>VLOOKUP(K7,$AR$4:$AW$7,2,FALSE)</f>
        <v>Nederländerna</v>
      </c>
      <c r="M7" s="18">
        <f>VLOOKUP(L7,$AS$4:$AW$7,2,FALSE)</f>
        <v>0</v>
      </c>
      <c r="N7" s="18">
        <f>VLOOKUP(L7,$AS$4:$AW$7,3,FALSE)</f>
        <v>0</v>
      </c>
      <c r="O7" s="18">
        <f>VLOOKUP(L7,$AS$4:$AW$7,4,FALSE)</f>
        <v>0</v>
      </c>
      <c r="P7" s="19">
        <f>VLOOKUP(L7,$AS$4:$AW$7,5,FALSE)</f>
        <v>0</v>
      </c>
      <c r="R7" s="22"/>
      <c r="S7" s="22"/>
      <c r="T7" s="22"/>
      <c r="U7" s="22"/>
      <c r="V7" s="5"/>
      <c r="X7" s="88" t="str">
        <f t="shared" si="7"/>
        <v>Nederländerna</v>
      </c>
      <c r="Y7" s="89">
        <f t="shared" si="0"/>
        <v>0</v>
      </c>
      <c r="Z7" s="89">
        <f t="shared" si="1"/>
        <v>0</v>
      </c>
      <c r="AA7" s="89">
        <f t="shared" si="2"/>
        <v>0</v>
      </c>
      <c r="AB7" s="88" t="str">
        <f t="shared" si="8"/>
        <v>Ecuador</v>
      </c>
      <c r="AC7" s="89">
        <f t="shared" si="3"/>
        <v>0</v>
      </c>
      <c r="AD7" s="73">
        <f t="shared" si="4"/>
        <v>0</v>
      </c>
      <c r="AE7" s="73">
        <f t="shared" si="5"/>
        <v>0</v>
      </c>
      <c r="AG7" s="72">
        <f>RANK($AH7,$AH$4:$AH$7,1)+COUNTIF($AH$4:$AH7,$AH7)-1</f>
        <v>4</v>
      </c>
      <c r="AH7" s="72">
        <f t="shared" si="9"/>
        <v>1</v>
      </c>
      <c r="AI7" s="72">
        <f t="shared" si="10"/>
        <v>0</v>
      </c>
      <c r="AJ7" s="72">
        <f t="shared" si="11"/>
        <v>0</v>
      </c>
      <c r="AK7" s="72">
        <f t="shared" si="12"/>
        <v>1</v>
      </c>
      <c r="AL7" s="88" t="s">
        <v>159</v>
      </c>
      <c r="AM7" s="72">
        <f t="shared" si="13"/>
        <v>0</v>
      </c>
      <c r="AN7" s="72">
        <f>SUMIF($X$4:$X$9,AL7,$Z$4:$Z$9)+SUMIF($AB$4:$AB$9,AL7,$AD$4:$AD$9)</f>
        <v>0</v>
      </c>
      <c r="AO7" s="72">
        <f t="shared" si="14"/>
        <v>0</v>
      </c>
      <c r="AP7" s="72">
        <f t="shared" si="15"/>
        <v>0</v>
      </c>
      <c r="AR7" s="72">
        <v>4</v>
      </c>
      <c r="AS7" s="72" t="str">
        <f t="shared" si="16"/>
        <v>Nederländerna</v>
      </c>
      <c r="AT7" s="72">
        <f t="shared" si="17"/>
        <v>0</v>
      </c>
      <c r="AU7" s="72">
        <f t="shared" si="18"/>
        <v>0</v>
      </c>
      <c r="AV7" s="72">
        <f t="shared" si="19"/>
        <v>0</v>
      </c>
      <c r="AW7" s="72">
        <f t="shared" si="20"/>
        <v>0</v>
      </c>
      <c r="AX7" s="177"/>
      <c r="AY7" s="182"/>
      <c r="AZ7" s="177"/>
      <c r="BA7" s="181"/>
      <c r="BB7" s="177"/>
      <c r="BC7" s="181"/>
      <c r="BD7" s="181"/>
      <c r="BE7" s="181"/>
      <c r="BF7" s="181"/>
      <c r="BG7" s="178"/>
      <c r="BI7" s="45"/>
      <c r="BJ7" s="49"/>
      <c r="BK7" s="49"/>
      <c r="BL7" s="49"/>
      <c r="BM7" s="49"/>
      <c r="BO7" s="87">
        <v>4</v>
      </c>
      <c r="BP7" s="16"/>
      <c r="BQ7" s="157"/>
      <c r="BR7" s="161"/>
    </row>
    <row r="8" spans="2:70" ht="14.25" customHeight="1" x14ac:dyDescent="0.25">
      <c r="B8" s="16">
        <v>35</v>
      </c>
      <c r="C8" s="95">
        <v>44894</v>
      </c>
      <c r="D8" s="84" t="s">
        <v>57</v>
      </c>
      <c r="E8" s="85" t="s">
        <v>6</v>
      </c>
      <c r="F8" s="86" t="s">
        <v>151</v>
      </c>
      <c r="G8" s="62"/>
      <c r="H8" s="87" t="s">
        <v>6</v>
      </c>
      <c r="I8" s="62"/>
      <c r="J8" s="64" t="str">
        <f t="shared" si="6"/>
        <v/>
      </c>
      <c r="L8" s="187">
        <f>COUNTBLANK(G4:G9)+COUNTBLANK(I4:I9)</f>
        <v>12</v>
      </c>
      <c r="M8" s="23"/>
      <c r="N8" s="23"/>
      <c r="O8" s="23"/>
      <c r="P8" s="23"/>
      <c r="R8" s="22"/>
      <c r="S8" s="22"/>
      <c r="T8" s="22"/>
      <c r="U8" s="22"/>
      <c r="V8" s="5"/>
      <c r="X8" s="88" t="str">
        <f t="shared" si="7"/>
        <v>Ecuador</v>
      </c>
      <c r="Y8" s="89">
        <f t="shared" si="0"/>
        <v>0</v>
      </c>
      <c r="Z8" s="89">
        <f t="shared" si="1"/>
        <v>0</v>
      </c>
      <c r="AA8" s="89">
        <f t="shared" si="2"/>
        <v>0</v>
      </c>
      <c r="AB8" s="88" t="str">
        <f t="shared" si="8"/>
        <v>Senegal</v>
      </c>
      <c r="AC8" s="89">
        <f t="shared" si="3"/>
        <v>0</v>
      </c>
      <c r="AD8" s="73">
        <f t="shared" si="4"/>
        <v>0</v>
      </c>
      <c r="AE8" s="73">
        <f t="shared" si="5"/>
        <v>0</v>
      </c>
      <c r="AX8" s="177"/>
      <c r="AY8" s="182"/>
      <c r="AZ8" s="177"/>
      <c r="BA8" s="181"/>
      <c r="BB8" s="177"/>
      <c r="BC8" s="181"/>
      <c r="BD8" s="181"/>
      <c r="BE8" s="181"/>
      <c r="BF8" s="181"/>
      <c r="BG8" s="178"/>
      <c r="BJ8" s="49"/>
      <c r="BK8" s="49"/>
      <c r="BL8" s="49"/>
      <c r="BM8" s="49"/>
      <c r="BO8" s="87">
        <v>5</v>
      </c>
      <c r="BP8" s="16"/>
      <c r="BQ8" s="157"/>
      <c r="BR8" s="161"/>
    </row>
    <row r="9" spans="2:70" ht="14.25" customHeight="1" x14ac:dyDescent="0.25">
      <c r="B9" s="98">
        <v>36</v>
      </c>
      <c r="C9" s="95">
        <v>44894</v>
      </c>
      <c r="D9" s="84" t="s">
        <v>159</v>
      </c>
      <c r="E9" s="85" t="s">
        <v>6</v>
      </c>
      <c r="F9" s="86" t="s">
        <v>200</v>
      </c>
      <c r="G9" s="62"/>
      <c r="H9" s="87" t="s">
        <v>6</v>
      </c>
      <c r="I9" s="62"/>
      <c r="J9" s="64" t="str">
        <f t="shared" si="6"/>
        <v/>
      </c>
      <c r="M9" s="23"/>
      <c r="N9" s="23"/>
      <c r="O9" s="23"/>
      <c r="P9" s="23"/>
      <c r="R9" s="22"/>
      <c r="S9" s="22"/>
      <c r="T9" s="22"/>
      <c r="U9" s="22"/>
      <c r="V9" s="5"/>
      <c r="X9" s="88" t="str">
        <f t="shared" si="7"/>
        <v>Nederländerna</v>
      </c>
      <c r="Y9" s="89">
        <f t="shared" si="0"/>
        <v>0</v>
      </c>
      <c r="Z9" s="89">
        <f t="shared" si="1"/>
        <v>0</v>
      </c>
      <c r="AA9" s="89">
        <f t="shared" si="2"/>
        <v>0</v>
      </c>
      <c r="AB9" s="88" t="str">
        <f t="shared" si="8"/>
        <v>Qatar</v>
      </c>
      <c r="AC9" s="89">
        <f t="shared" si="3"/>
        <v>0</v>
      </c>
      <c r="AD9" s="73">
        <f t="shared" si="4"/>
        <v>0</v>
      </c>
      <c r="AE9" s="73">
        <f t="shared" si="5"/>
        <v>0</v>
      </c>
      <c r="AX9" s="177"/>
      <c r="AY9" s="182"/>
      <c r="AZ9" s="177"/>
      <c r="BA9" s="181"/>
      <c r="BB9" s="177"/>
      <c r="BC9" s="181"/>
      <c r="BD9" s="181"/>
      <c r="BE9" s="181"/>
      <c r="BF9" s="181"/>
      <c r="BG9" s="178"/>
      <c r="BJ9" s="49"/>
      <c r="BK9" s="49"/>
      <c r="BL9" s="49"/>
      <c r="BM9" s="49"/>
      <c r="BO9" s="150">
        <v>6</v>
      </c>
      <c r="BP9" s="16"/>
      <c r="BQ9" s="157"/>
      <c r="BR9" s="161"/>
    </row>
    <row r="10" spans="2:70" ht="14.25" customHeight="1" x14ac:dyDescent="0.3">
      <c r="C10" s="38"/>
      <c r="F10" s="101"/>
      <c r="J10" s="24"/>
      <c r="M10" s="23"/>
      <c r="N10" s="23"/>
      <c r="O10" s="23"/>
      <c r="P10" s="23"/>
      <c r="R10" s="22"/>
      <c r="S10" s="22"/>
      <c r="T10" s="22"/>
      <c r="U10" s="22"/>
      <c r="V10" s="5"/>
      <c r="AX10" s="177"/>
      <c r="AY10" s="182"/>
      <c r="AZ10" s="177"/>
      <c r="BA10" s="181"/>
      <c r="BB10" s="177"/>
      <c r="BC10" s="181"/>
      <c r="BD10" s="181"/>
      <c r="BE10" s="181"/>
      <c r="BF10" s="181"/>
      <c r="BG10" s="178"/>
      <c r="BJ10" s="49"/>
      <c r="BK10" s="49"/>
      <c r="BL10" s="49"/>
      <c r="BM10" s="49"/>
      <c r="BO10" s="87">
        <v>7</v>
      </c>
      <c r="BP10" s="16"/>
      <c r="BQ10" s="157"/>
      <c r="BR10" s="162"/>
    </row>
    <row r="11" spans="2:70" s="26" customFormat="1" ht="14.25" customHeight="1" x14ac:dyDescent="0.3">
      <c r="B11" s="6" t="s">
        <v>24</v>
      </c>
      <c r="C11" s="104"/>
      <c r="D11" s="117"/>
      <c r="E11" s="27"/>
      <c r="F11" s="105"/>
      <c r="G11" s="27"/>
      <c r="H11" s="27"/>
      <c r="I11" s="106"/>
      <c r="J11" s="101"/>
      <c r="K11" s="25"/>
      <c r="M11" s="27"/>
      <c r="N11" s="27"/>
      <c r="O11" s="27"/>
      <c r="P11" s="27"/>
      <c r="R11" s="22"/>
      <c r="S11" s="22"/>
      <c r="T11" s="22"/>
      <c r="U11" s="22"/>
      <c r="X11" s="70"/>
      <c r="Y11" s="89"/>
      <c r="Z11" s="89"/>
      <c r="AA11" s="89"/>
      <c r="AB11" s="70"/>
      <c r="AC11" s="107"/>
      <c r="AD11" s="108"/>
      <c r="AE11" s="108"/>
      <c r="AF11" s="107"/>
      <c r="AG11" s="72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75"/>
      <c r="AY11" s="183"/>
      <c r="AZ11" s="175"/>
      <c r="BA11" s="179"/>
      <c r="BB11" s="175"/>
      <c r="BC11" s="179"/>
      <c r="BD11" s="179"/>
      <c r="BE11" s="181"/>
      <c r="BF11" s="179"/>
      <c r="BG11" s="179"/>
      <c r="BH11" s="110"/>
      <c r="BI11" s="1"/>
      <c r="BJ11" s="24"/>
      <c r="BK11" s="24"/>
      <c r="BL11" s="24"/>
      <c r="BM11" s="24"/>
      <c r="BO11" s="150">
        <v>8</v>
      </c>
      <c r="BP11" s="16"/>
      <c r="BQ11" s="157"/>
      <c r="BR11" s="161"/>
    </row>
    <row r="12" spans="2:70" s="26" customFormat="1" ht="14.25" customHeight="1" x14ac:dyDescent="0.25">
      <c r="B12" s="111" t="s">
        <v>2</v>
      </c>
      <c r="C12" s="112" t="s">
        <v>3</v>
      </c>
      <c r="D12" s="207" t="s">
        <v>2</v>
      </c>
      <c r="E12" s="208"/>
      <c r="F12" s="209"/>
      <c r="G12" s="208" t="s">
        <v>4</v>
      </c>
      <c r="H12" s="208"/>
      <c r="I12" s="208"/>
      <c r="J12" s="28" t="s">
        <v>69</v>
      </c>
      <c r="K12" s="25"/>
      <c r="L12" s="8" t="s">
        <v>24</v>
      </c>
      <c r="M12" s="9" t="s">
        <v>75</v>
      </c>
      <c r="N12" s="9" t="s">
        <v>76</v>
      </c>
      <c r="O12" s="9" t="s">
        <v>77</v>
      </c>
      <c r="P12" s="10" t="s">
        <v>87</v>
      </c>
      <c r="R12" s="22"/>
      <c r="S12" s="152"/>
      <c r="T12" s="152"/>
      <c r="U12" s="152"/>
      <c r="X12" s="81" t="s">
        <v>73</v>
      </c>
      <c r="Y12" s="81" t="s">
        <v>75</v>
      </c>
      <c r="Z12" s="81" t="s">
        <v>76</v>
      </c>
      <c r="AA12" s="81" t="s">
        <v>77</v>
      </c>
      <c r="AB12" s="81" t="s">
        <v>74</v>
      </c>
      <c r="AC12" s="81" t="s">
        <v>75</v>
      </c>
      <c r="AD12" s="81" t="s">
        <v>76</v>
      </c>
      <c r="AE12" s="81" t="s">
        <v>77</v>
      </c>
      <c r="AF12" s="107"/>
      <c r="AG12" s="82" t="s">
        <v>85</v>
      </c>
      <c r="AH12" s="82" t="s">
        <v>84</v>
      </c>
      <c r="AI12" s="82" t="s">
        <v>83</v>
      </c>
      <c r="AJ12" s="81" t="s">
        <v>82</v>
      </c>
      <c r="AK12" s="81" t="s">
        <v>81</v>
      </c>
      <c r="AL12" s="81" t="s">
        <v>78</v>
      </c>
      <c r="AM12" s="81" t="s">
        <v>75</v>
      </c>
      <c r="AN12" s="81" t="s">
        <v>76</v>
      </c>
      <c r="AO12" s="81" t="s">
        <v>77</v>
      </c>
      <c r="AP12" s="82" t="s">
        <v>79</v>
      </c>
      <c r="AQ12" s="107"/>
      <c r="AR12" s="81" t="s">
        <v>80</v>
      </c>
      <c r="AS12" s="81" t="s">
        <v>78</v>
      </c>
      <c r="AT12" s="81" t="s">
        <v>75</v>
      </c>
      <c r="AU12" s="81" t="s">
        <v>76</v>
      </c>
      <c r="AV12" s="81" t="s">
        <v>77</v>
      </c>
      <c r="AW12" s="82" t="s">
        <v>79</v>
      </c>
      <c r="AX12" s="175"/>
      <c r="AY12" s="175"/>
      <c r="AZ12" s="206"/>
      <c r="BA12" s="206"/>
      <c r="BB12" s="206"/>
      <c r="BC12" s="206"/>
      <c r="BD12" s="206"/>
      <c r="BE12" s="206"/>
      <c r="BF12" s="179"/>
      <c r="BG12" s="179"/>
      <c r="BH12" s="110"/>
      <c r="BI12" s="114"/>
      <c r="BJ12" s="24"/>
      <c r="BK12" s="24"/>
      <c r="BL12" s="24"/>
      <c r="BM12" s="24"/>
      <c r="BO12" s="87">
        <v>9</v>
      </c>
      <c r="BP12" s="16"/>
      <c r="BQ12" s="157"/>
      <c r="BR12" s="162"/>
    </row>
    <row r="13" spans="2:70" ht="14.25" customHeight="1" x14ac:dyDescent="0.25">
      <c r="B13" s="16">
        <v>3</v>
      </c>
      <c r="C13" s="95">
        <v>44886</v>
      </c>
      <c r="D13" s="84" t="s">
        <v>54</v>
      </c>
      <c r="E13" s="85" t="s">
        <v>6</v>
      </c>
      <c r="F13" s="86" t="s">
        <v>61</v>
      </c>
      <c r="G13" s="62"/>
      <c r="H13" s="87" t="s">
        <v>6</v>
      </c>
      <c r="I13" s="62"/>
      <c r="J13" s="64" t="str">
        <f>IF(OR(ISBLANK(G13),ISBLANK(I13)),"",IF(G13&gt;I13,1,IF(G13&lt;I13,2,"X")))</f>
        <v/>
      </c>
      <c r="K13" s="12">
        <v>1</v>
      </c>
      <c r="L13" s="13" t="str">
        <f>VLOOKUP(K13,$AR$13:$AW$16,2,FALSE)</f>
        <v>England</v>
      </c>
      <c r="M13" s="14">
        <f>VLOOKUP(L13,$AS$13:$AW$16,2,FALSE)</f>
        <v>0</v>
      </c>
      <c r="N13" s="14">
        <f>VLOOKUP(L13,$AS$13:$AW$16,3,FALSE)</f>
        <v>0</v>
      </c>
      <c r="O13" s="14">
        <f>VLOOKUP(L13,$AS$13:$AW$16,4,FALSE)</f>
        <v>0</v>
      </c>
      <c r="P13" s="15">
        <f>VLOOKUP(L13,$AS$13:$AW$16,5,FALSE)</f>
        <v>0</v>
      </c>
      <c r="R13" s="22"/>
      <c r="S13" s="49"/>
      <c r="T13" s="49"/>
      <c r="U13" s="49"/>
      <c r="V13" s="5"/>
      <c r="X13" s="88" t="str">
        <f>D13</f>
        <v>England</v>
      </c>
      <c r="Y13" s="89">
        <f t="shared" ref="Y13:Y18" si="21">IF(G13="",0,IF($G13&lt;$I13,0,IF($G13=$I13,1,3)))</f>
        <v>0</v>
      </c>
      <c r="Z13" s="89">
        <f t="shared" ref="Z13:Z18" si="22">G13</f>
        <v>0</v>
      </c>
      <c r="AA13" s="89">
        <f t="shared" ref="AA13:AA18" si="23">I13</f>
        <v>0</v>
      </c>
      <c r="AB13" s="88" t="str">
        <f>F13</f>
        <v>Iran</v>
      </c>
      <c r="AC13" s="89">
        <f t="shared" ref="AC13:AC18" si="24">IF(I13="",0,IF(I13&lt;G13,0,IF(I13=G13,1,3)))</f>
        <v>0</v>
      </c>
      <c r="AD13" s="73">
        <f t="shared" ref="AD13:AD18" si="25">I13</f>
        <v>0</v>
      </c>
      <c r="AE13" s="73">
        <f t="shared" ref="AE13:AE18" si="26">G13</f>
        <v>0</v>
      </c>
      <c r="AG13" s="72">
        <f>RANK($AH13,$AH$13:$AH$16,1)+COUNTIF($AH$13:$AH13,$AH13)-1</f>
        <v>1</v>
      </c>
      <c r="AH13" s="72">
        <f>AI13+AJ13+AK13</f>
        <v>1</v>
      </c>
      <c r="AI13" s="72">
        <f>SUMPRODUCT(($AM$13:$AM$16=AM13)*($AP$13:$AP$16=AP13)*($AN$13:$AN$16&gt;AN13))</f>
        <v>0</v>
      </c>
      <c r="AJ13" s="72">
        <f>SUMPRODUCT(($AM$13:$AM$16=AM13)*($AP$13:$AP$16&gt;AP13))</f>
        <v>0</v>
      </c>
      <c r="AK13" s="72">
        <f>RANK(AM13,$AM$13:$AM$16)</f>
        <v>1</v>
      </c>
      <c r="AL13" s="88" t="s">
        <v>54</v>
      </c>
      <c r="AM13" s="72">
        <f>SUMIF($X$13:$X$18,$AL13,$Y$13:$Y$18)+SUMIF($AB$13:$AB$18,$AL13,$AC$13:$AC$18)</f>
        <v>0</v>
      </c>
      <c r="AN13" s="72">
        <f>SUMIF($X$13:$X$18,$AL13,$Z$13:$Z$18)+SUMIF($AB$13:$AB$18,$AL13,$AD$13:$AD$18)</f>
        <v>0</v>
      </c>
      <c r="AO13" s="72">
        <f>SUMIF($X$13:$X$18,$AL13,$AA$13:$AA$18)+SUMIF($AB$13:$AB$18,$AL13,$AE$13:$AE$18)</f>
        <v>0</v>
      </c>
      <c r="AP13" s="72">
        <f>AN13-AO13</f>
        <v>0</v>
      </c>
      <c r="AR13" s="72">
        <v>1</v>
      </c>
      <c r="AS13" s="72" t="str">
        <f>VLOOKUP($AR13,$AG$13:$AP$16,6,FALSE)</f>
        <v>England</v>
      </c>
      <c r="AT13" s="72">
        <f>VLOOKUP($AS13,$AL$13:$AP$16,2,FALSE)</f>
        <v>0</v>
      </c>
      <c r="AU13" s="72">
        <f>VLOOKUP($AS13,$AL$13:$AP$16,3,FALSE)</f>
        <v>0</v>
      </c>
      <c r="AV13" s="72">
        <f>VLOOKUP($AS13,$AL$13:$AP$16,4,FALSE)</f>
        <v>0</v>
      </c>
      <c r="AW13" s="72">
        <f>VLOOKUP($AS13,$AL$13:$AP$16,5,FALSE)</f>
        <v>0</v>
      </c>
      <c r="AX13" s="177"/>
      <c r="AY13" s="182"/>
      <c r="AZ13" s="177"/>
      <c r="BA13" s="181"/>
      <c r="BB13" s="177"/>
      <c r="BC13" s="181"/>
      <c r="BD13" s="181"/>
      <c r="BE13" s="181"/>
      <c r="BF13" s="181"/>
      <c r="BG13" s="178"/>
      <c r="BH13" s="94"/>
      <c r="BI13" s="74"/>
      <c r="BJ13" s="49"/>
      <c r="BK13" s="49"/>
      <c r="BL13" s="49"/>
      <c r="BM13" s="49"/>
      <c r="BO13" s="87">
        <v>10</v>
      </c>
      <c r="BP13" s="16"/>
      <c r="BQ13" s="157"/>
      <c r="BR13" s="162"/>
    </row>
    <row r="14" spans="2:70" ht="14.25" customHeight="1" x14ac:dyDescent="0.25">
      <c r="B14" s="16">
        <v>4</v>
      </c>
      <c r="C14" s="95">
        <v>44886</v>
      </c>
      <c r="D14" s="84" t="s">
        <v>66</v>
      </c>
      <c r="E14" s="85" t="s">
        <v>6</v>
      </c>
      <c r="F14" s="86" t="s">
        <v>160</v>
      </c>
      <c r="G14" s="62"/>
      <c r="H14" s="87" t="s">
        <v>6</v>
      </c>
      <c r="I14" s="62"/>
      <c r="J14" s="64" t="str">
        <f t="shared" ref="J14:J18" si="27">IF(OR(ISBLANK(G14),ISBLANK(I14)),"",IF(G14&gt;I14,1,IF(G14&lt;I14,2,"X")))</f>
        <v/>
      </c>
      <c r="K14" s="2">
        <v>2</v>
      </c>
      <c r="L14" s="17" t="str">
        <f>VLOOKUP(K14,$AR$13:$AW$16,2,FALSE)</f>
        <v>Iran</v>
      </c>
      <c r="M14" s="18">
        <f>VLOOKUP(L14,$AS$13:$AW$16,2,FALSE)</f>
        <v>0</v>
      </c>
      <c r="N14" s="18">
        <f>VLOOKUP(L14,$AS$13:$AW$16,3,FALSE)</f>
        <v>0</v>
      </c>
      <c r="O14" s="18">
        <f>VLOOKUP(L14,$AS$13:$AW$16,4,FALSE)</f>
        <v>0</v>
      </c>
      <c r="P14" s="19">
        <f>VLOOKUP(L14,$AS$13:$AW$16,5,FALSE)</f>
        <v>0</v>
      </c>
      <c r="R14" s="22"/>
      <c r="S14" s="49"/>
      <c r="T14" s="49"/>
      <c r="U14" s="49"/>
      <c r="V14" s="5"/>
      <c r="X14" s="88" t="str">
        <f t="shared" ref="X14:X18" si="28">D14</f>
        <v>USA</v>
      </c>
      <c r="Y14" s="89">
        <f t="shared" si="21"/>
        <v>0</v>
      </c>
      <c r="Z14" s="89">
        <f t="shared" si="22"/>
        <v>0</v>
      </c>
      <c r="AA14" s="89">
        <f t="shared" si="23"/>
        <v>0</v>
      </c>
      <c r="AB14" s="88" t="str">
        <f t="shared" ref="AB14:AB18" si="29">F14</f>
        <v>Wales</v>
      </c>
      <c r="AC14" s="89">
        <f t="shared" si="24"/>
        <v>0</v>
      </c>
      <c r="AD14" s="73">
        <f t="shared" si="25"/>
        <v>0</v>
      </c>
      <c r="AE14" s="73">
        <f t="shared" si="26"/>
        <v>0</v>
      </c>
      <c r="AG14" s="72">
        <f>RANK($AH14,$AH$13:$AH$16,1)+COUNTIF($AH$13:$AH14,$AH14)-1</f>
        <v>2</v>
      </c>
      <c r="AH14" s="72">
        <f>AI14+AJ14+AK14</f>
        <v>1</v>
      </c>
      <c r="AI14" s="72">
        <f>SUMPRODUCT(($AM$13:$AM$16=AM14)*($AP$13:$AP$16=AP14)*($AN$13:$AN$16&gt;AN14))</f>
        <v>0</v>
      </c>
      <c r="AJ14" s="72">
        <f>SUMPRODUCT(($AM$13:$AM$16=AM14)*($AP$13:$AP$16&gt;AP14))</f>
        <v>0</v>
      </c>
      <c r="AK14" s="72">
        <f>RANK(AM14,$AM$13:$AM$16)</f>
        <v>1</v>
      </c>
      <c r="AL14" s="88" t="s">
        <v>61</v>
      </c>
      <c r="AM14" s="72">
        <f>SUMIF($X$13:$X$18,$AL14,$Y$13:$Y$18)+SUMIF($AB$13:$AB$18,$AL14,$AC$13:$AC$18)</f>
        <v>0</v>
      </c>
      <c r="AN14" s="72">
        <f>SUMIF($X$13:$X$18,$AL14,$Z$13:$Z$18)+SUMIF($AB$13:$AB$18,AL14,$AD$13:$AD$18)</f>
        <v>0</v>
      </c>
      <c r="AO14" s="72">
        <f>SUMIF($X$13:$X$18,$AL14,$AA$13:$AA$18)+SUMIF($AB$13:$AB$18,$AL14,$AE$13:$AE$18)</f>
        <v>0</v>
      </c>
      <c r="AP14" s="72">
        <f>AN14-AO14</f>
        <v>0</v>
      </c>
      <c r="AR14" s="72">
        <v>2</v>
      </c>
      <c r="AS14" s="72" t="str">
        <f>VLOOKUP($AR14,$AG$13:$AP$16,6,FALSE)</f>
        <v>Iran</v>
      </c>
      <c r="AT14" s="72">
        <f>VLOOKUP($AS14,$AL$13:$AP$16,2,FALSE)</f>
        <v>0</v>
      </c>
      <c r="AU14" s="72">
        <f>VLOOKUP($AS14,$AL$13:$AP$16,3,FALSE)</f>
        <v>0</v>
      </c>
      <c r="AV14" s="72">
        <f>VLOOKUP($AS14,$AL$13:$AP$16,4,FALSE)</f>
        <v>0</v>
      </c>
      <c r="AW14" s="72">
        <f>VLOOKUP($AS14,$AL$13:$AP$16,5,FALSE)</f>
        <v>0</v>
      </c>
      <c r="AX14" s="177"/>
      <c r="AY14" s="182"/>
      <c r="AZ14" s="177"/>
      <c r="BA14" s="181"/>
      <c r="BB14" s="177"/>
      <c r="BC14" s="181"/>
      <c r="BD14" s="181"/>
      <c r="BE14" s="181"/>
      <c r="BF14" s="181"/>
      <c r="BG14" s="178"/>
      <c r="BI14" s="74"/>
      <c r="BJ14" s="49"/>
      <c r="BK14" s="49"/>
      <c r="BL14" s="49"/>
      <c r="BM14" s="49"/>
      <c r="BO14" s="87">
        <v>11</v>
      </c>
      <c r="BP14" s="16"/>
      <c r="BQ14" s="157"/>
      <c r="BR14" s="162"/>
    </row>
    <row r="15" spans="2:70" ht="14.25" customHeight="1" x14ac:dyDescent="0.25">
      <c r="B15" s="16">
        <v>17</v>
      </c>
      <c r="C15" s="95">
        <v>44890</v>
      </c>
      <c r="D15" s="84" t="s">
        <v>160</v>
      </c>
      <c r="E15" s="85" t="s">
        <v>6</v>
      </c>
      <c r="F15" s="86" t="s">
        <v>61</v>
      </c>
      <c r="G15" s="62"/>
      <c r="H15" s="87" t="s">
        <v>6</v>
      </c>
      <c r="I15" s="62"/>
      <c r="J15" s="64" t="str">
        <f t="shared" si="27"/>
        <v/>
      </c>
      <c r="K15" s="2">
        <v>3</v>
      </c>
      <c r="L15" s="137" t="str">
        <f>VLOOKUP(K15,$AR$13:$AW$16,2,FALSE)</f>
        <v>USA</v>
      </c>
      <c r="M15" s="32">
        <f>VLOOKUP(L15,$AS$13:$AW$16,2,FALSE)</f>
        <v>0</v>
      </c>
      <c r="N15" s="32">
        <f>VLOOKUP(L15,$AS$13:$AW$16,3,FALSE)</f>
        <v>0</v>
      </c>
      <c r="O15" s="32">
        <f>VLOOKUP(L15,$AS$13:$AW$16,4,FALSE)</f>
        <v>0</v>
      </c>
      <c r="P15" s="33">
        <f>VLOOKUP(L15,$AS$13:$AW$16,5,FALSE)</f>
        <v>0</v>
      </c>
      <c r="R15" s="22"/>
      <c r="S15" s="49"/>
      <c r="T15" s="49"/>
      <c r="U15" s="49"/>
      <c r="V15" s="5"/>
      <c r="X15" s="88" t="str">
        <f t="shared" si="28"/>
        <v>Wales</v>
      </c>
      <c r="Y15" s="89">
        <f t="shared" si="21"/>
        <v>0</v>
      </c>
      <c r="Z15" s="89">
        <f t="shared" si="22"/>
        <v>0</v>
      </c>
      <c r="AA15" s="89">
        <f t="shared" si="23"/>
        <v>0</v>
      </c>
      <c r="AB15" s="88" t="str">
        <f t="shared" si="29"/>
        <v>Iran</v>
      </c>
      <c r="AC15" s="89">
        <f t="shared" si="24"/>
        <v>0</v>
      </c>
      <c r="AD15" s="73">
        <f t="shared" si="25"/>
        <v>0</v>
      </c>
      <c r="AE15" s="73">
        <f t="shared" si="26"/>
        <v>0</v>
      </c>
      <c r="AG15" s="72">
        <f>RANK($AH15,$AH$13:$AH$16,1)+COUNTIF($AH$13:$AH15,$AH15)-1</f>
        <v>3</v>
      </c>
      <c r="AH15" s="72">
        <f>AI15+AJ15+AK15</f>
        <v>1</v>
      </c>
      <c r="AI15" s="72">
        <f>SUMPRODUCT(($AM$13:$AM$16=AM15)*($AP$13:$AP$16=AP15)*($AN$13:$AN$16&gt;AN15))</f>
        <v>0</v>
      </c>
      <c r="AJ15" s="72">
        <f>SUMPRODUCT(($AM$13:$AM$16=AM15)*($AP$13:$AP$16&gt;AP15))</f>
        <v>0</v>
      </c>
      <c r="AK15" s="72">
        <f>RANK(AM15,$AM$13:$AM$16)</f>
        <v>1</v>
      </c>
      <c r="AL15" s="88" t="s">
        <v>66</v>
      </c>
      <c r="AM15" s="72">
        <f>SUMIF($X$13:$X$18,$AL15,$Y$13:$Y$18)+SUMIF($AB$13:$AB$18,$AL15,$AC$13:$AC$18)</f>
        <v>0</v>
      </c>
      <c r="AN15" s="72">
        <f>SUMIF($X$13:$X$18,$AL15,$Z$13:$Z$18)+SUMIF($AB$13:$AB$18,AL15,$AD$13:$AD$18)</f>
        <v>0</v>
      </c>
      <c r="AO15" s="72">
        <f>SUMIF($X$13:$X$18,$AL15,$AA$13:$AA$18)+SUMIF($AB$13:$AB$18,$AL15,$AE$13:$AE$18)</f>
        <v>0</v>
      </c>
      <c r="AP15" s="72">
        <f>AN15-AO15</f>
        <v>0</v>
      </c>
      <c r="AR15" s="72">
        <v>3</v>
      </c>
      <c r="AS15" s="72" t="str">
        <f>VLOOKUP($AR15,$AG$13:$AP$16,6,FALSE)</f>
        <v>USA</v>
      </c>
      <c r="AT15" s="72">
        <f>VLOOKUP($AS15,$AL$13:$AP$16,2,FALSE)</f>
        <v>0</v>
      </c>
      <c r="AU15" s="72">
        <f>VLOOKUP($AS15,$AL$13:$AP$16,3,FALSE)</f>
        <v>0</v>
      </c>
      <c r="AV15" s="72">
        <f>VLOOKUP($AS15,$AL$13:$AP$16,4,FALSE)</f>
        <v>0</v>
      </c>
      <c r="AW15" s="72">
        <f>VLOOKUP($AS15,$AL$13:$AP$16,5,FALSE)</f>
        <v>0</v>
      </c>
      <c r="AX15" s="177"/>
      <c r="AY15" s="182"/>
      <c r="AZ15" s="177"/>
      <c r="BA15" s="181"/>
      <c r="BB15" s="177"/>
      <c r="BC15" s="181"/>
      <c r="BD15" s="181"/>
      <c r="BE15" s="181"/>
      <c r="BF15" s="181"/>
      <c r="BG15" s="178"/>
      <c r="BI15" s="45"/>
      <c r="BJ15" s="49"/>
      <c r="BK15" s="49"/>
      <c r="BL15" s="49"/>
      <c r="BM15" s="49"/>
      <c r="BO15" s="87">
        <v>12</v>
      </c>
      <c r="BP15" s="16"/>
      <c r="BQ15" s="157"/>
      <c r="BR15" s="162"/>
    </row>
    <row r="16" spans="2:70" ht="14.25" customHeight="1" x14ac:dyDescent="0.25">
      <c r="B16" s="16">
        <v>20</v>
      </c>
      <c r="C16" s="95">
        <v>44890</v>
      </c>
      <c r="D16" s="84" t="s">
        <v>54</v>
      </c>
      <c r="E16" s="85" t="s">
        <v>6</v>
      </c>
      <c r="F16" s="86" t="s">
        <v>66</v>
      </c>
      <c r="G16" s="62"/>
      <c r="H16" s="87" t="s">
        <v>6</v>
      </c>
      <c r="I16" s="62"/>
      <c r="J16" s="64" t="str">
        <f t="shared" si="27"/>
        <v/>
      </c>
      <c r="K16" s="2">
        <v>4</v>
      </c>
      <c r="L16" s="21" t="str">
        <f>VLOOKUP(K16,$AR$13:$AW$16,2,FALSE)</f>
        <v>Wales</v>
      </c>
      <c r="M16" s="18">
        <f>VLOOKUP(L16,$AS$13:$AW$16,2,FALSE)</f>
        <v>0</v>
      </c>
      <c r="N16" s="18">
        <f>VLOOKUP(L16,$AS$13:$AW$16,3,FALSE)</f>
        <v>0</v>
      </c>
      <c r="O16" s="18">
        <f>VLOOKUP(L16,$AS$13:$AW$16,4,FALSE)</f>
        <v>0</v>
      </c>
      <c r="P16" s="19">
        <f>VLOOKUP(L16,$AS$13:$AW$16,5,FALSE)</f>
        <v>0</v>
      </c>
      <c r="R16" s="22"/>
      <c r="S16" s="49"/>
      <c r="T16" s="49"/>
      <c r="U16" s="49"/>
      <c r="V16" s="5"/>
      <c r="X16" s="88" t="str">
        <f t="shared" si="28"/>
        <v>England</v>
      </c>
      <c r="Y16" s="89">
        <f t="shared" si="21"/>
        <v>0</v>
      </c>
      <c r="Z16" s="89">
        <f t="shared" si="22"/>
        <v>0</v>
      </c>
      <c r="AA16" s="89">
        <f t="shared" si="23"/>
        <v>0</v>
      </c>
      <c r="AB16" s="88" t="str">
        <f t="shared" si="29"/>
        <v>USA</v>
      </c>
      <c r="AC16" s="89">
        <f t="shared" si="24"/>
        <v>0</v>
      </c>
      <c r="AD16" s="73">
        <f t="shared" si="25"/>
        <v>0</v>
      </c>
      <c r="AE16" s="73">
        <f t="shared" si="26"/>
        <v>0</v>
      </c>
      <c r="AG16" s="72">
        <f>RANK($AH16,$AH$13:$AH$16,1)+COUNTIF($AH$13:$AH16,$AH16)-1</f>
        <v>4</v>
      </c>
      <c r="AH16" s="72">
        <f>AI16+AJ16+AK16</f>
        <v>1</v>
      </c>
      <c r="AI16" s="72">
        <f>SUMPRODUCT(($AM$13:$AM$16=AM16)*($AP$13:$AP$16=AP16)*($AN$13:$AN$16&gt;AN16))</f>
        <v>0</v>
      </c>
      <c r="AJ16" s="72">
        <f>SUMPRODUCT(($AM$13:$AM$16=AM16)*($AP$13:$AP$16&gt;AP16))</f>
        <v>0</v>
      </c>
      <c r="AK16" s="72">
        <f>RANK(AM16,$AM$13:$AM$16)</f>
        <v>1</v>
      </c>
      <c r="AL16" s="88" t="s">
        <v>160</v>
      </c>
      <c r="AM16" s="72">
        <f>SUMIF($X$13:$X$18,$AL16,$Y$13:$Y$18)+SUMIF($AB$13:$AB$18,$AL16,$AC$13:$AC$18)</f>
        <v>0</v>
      </c>
      <c r="AN16" s="72">
        <f>SUMIF($X$13:$X$18,$AL16,$Z$13:$Z$18)+SUMIF($AB$13:$AB$18,AL16,$AD$13:$AD$18)</f>
        <v>0</v>
      </c>
      <c r="AO16" s="72">
        <f>SUMIF($X$13:$X$18,$AL16,$AA$13:$AA$18)+SUMIF($AB$13:$AB$18,$AL16,$AE$13:$AE$18)</f>
        <v>0</v>
      </c>
      <c r="AP16" s="72">
        <f>AN16-AO16</f>
        <v>0</v>
      </c>
      <c r="AR16" s="72">
        <v>4</v>
      </c>
      <c r="AS16" s="72" t="str">
        <f>VLOOKUP($AR16,$AG$13:$AP$16,6,FALSE)</f>
        <v>Wales</v>
      </c>
      <c r="AT16" s="72">
        <f>VLOOKUP($AS16,$AL$13:$AP$16,2,FALSE)</f>
        <v>0</v>
      </c>
      <c r="AU16" s="72">
        <f>VLOOKUP($AS16,$AL$13:$AP$16,3,FALSE)</f>
        <v>0</v>
      </c>
      <c r="AV16" s="72">
        <f>VLOOKUP($AS16,$AL$13:$AP$16,4,FALSE)</f>
        <v>0</v>
      </c>
      <c r="AW16" s="72">
        <f>VLOOKUP($AS16,$AL$13:$AP$16,5,FALSE)</f>
        <v>0</v>
      </c>
      <c r="AX16" s="177"/>
      <c r="AY16" s="182"/>
      <c r="AZ16" s="177"/>
      <c r="BA16" s="181"/>
      <c r="BB16" s="177"/>
      <c r="BC16" s="181"/>
      <c r="BD16" s="181"/>
      <c r="BE16" s="181"/>
      <c r="BF16" s="181"/>
      <c r="BG16" s="178"/>
      <c r="BI16" s="45"/>
      <c r="BJ16" s="49"/>
      <c r="BK16" s="49"/>
      <c r="BL16" s="49"/>
      <c r="BM16" s="49"/>
      <c r="BO16" s="87">
        <v>13</v>
      </c>
      <c r="BP16" s="16"/>
      <c r="BQ16" s="157"/>
      <c r="BR16" s="162"/>
    </row>
    <row r="17" spans="2:70" ht="14.25" customHeight="1" x14ac:dyDescent="0.25">
      <c r="B17" s="16">
        <v>33</v>
      </c>
      <c r="C17" s="95">
        <v>44894</v>
      </c>
      <c r="D17" s="84" t="s">
        <v>160</v>
      </c>
      <c r="E17" s="85" t="s">
        <v>6</v>
      </c>
      <c r="F17" s="86" t="s">
        <v>54</v>
      </c>
      <c r="G17" s="62"/>
      <c r="H17" s="87" t="s">
        <v>6</v>
      </c>
      <c r="I17" s="62"/>
      <c r="J17" s="64" t="str">
        <f t="shared" si="27"/>
        <v/>
      </c>
      <c r="L17" s="187">
        <f>COUNTBLANK(G13:G18)+COUNTBLANK(I13:I18)</f>
        <v>12</v>
      </c>
      <c r="M17" s="23"/>
      <c r="N17" s="23"/>
      <c r="O17" s="23"/>
      <c r="P17" s="23"/>
      <c r="R17" s="22"/>
      <c r="S17" s="49"/>
      <c r="T17" s="49"/>
      <c r="U17" s="49"/>
      <c r="V17" s="5"/>
      <c r="X17" s="88" t="str">
        <f t="shared" si="28"/>
        <v>Wales</v>
      </c>
      <c r="Y17" s="89">
        <f t="shared" si="21"/>
        <v>0</v>
      </c>
      <c r="Z17" s="89">
        <f t="shared" si="22"/>
        <v>0</v>
      </c>
      <c r="AA17" s="89">
        <f t="shared" si="23"/>
        <v>0</v>
      </c>
      <c r="AB17" s="88" t="str">
        <f t="shared" si="29"/>
        <v>England</v>
      </c>
      <c r="AC17" s="89">
        <f t="shared" si="24"/>
        <v>0</v>
      </c>
      <c r="AD17" s="73">
        <f t="shared" si="25"/>
        <v>0</v>
      </c>
      <c r="AE17" s="73">
        <f t="shared" si="26"/>
        <v>0</v>
      </c>
      <c r="AX17" s="177"/>
      <c r="AY17" s="182"/>
      <c r="AZ17" s="177"/>
      <c r="BA17" s="181"/>
      <c r="BB17" s="177"/>
      <c r="BC17" s="181"/>
      <c r="BD17" s="181"/>
      <c r="BE17" s="181"/>
      <c r="BF17" s="181"/>
      <c r="BG17" s="178"/>
      <c r="BJ17" s="49"/>
      <c r="BK17" s="49"/>
      <c r="BL17" s="49"/>
      <c r="BM17" s="49"/>
      <c r="BO17" s="87">
        <v>14</v>
      </c>
      <c r="BP17" s="16"/>
      <c r="BQ17" s="157"/>
      <c r="BR17" s="162"/>
    </row>
    <row r="18" spans="2:70" ht="14.25" customHeight="1" x14ac:dyDescent="0.25">
      <c r="B18" s="16">
        <v>34</v>
      </c>
      <c r="C18" s="95">
        <v>44894</v>
      </c>
      <c r="D18" s="84" t="s">
        <v>61</v>
      </c>
      <c r="E18" s="85" t="s">
        <v>6</v>
      </c>
      <c r="F18" s="86" t="s">
        <v>66</v>
      </c>
      <c r="G18" s="62"/>
      <c r="H18" s="87" t="s">
        <v>6</v>
      </c>
      <c r="I18" s="62"/>
      <c r="J18" s="64" t="str">
        <f t="shared" si="27"/>
        <v/>
      </c>
      <c r="M18" s="23"/>
      <c r="N18" s="23"/>
      <c r="O18" s="23"/>
      <c r="P18" s="23"/>
      <c r="R18" s="22"/>
      <c r="S18" s="49"/>
      <c r="T18" s="49"/>
      <c r="U18" s="49"/>
      <c r="V18" s="5"/>
      <c r="X18" s="88" t="str">
        <f t="shared" si="28"/>
        <v>Iran</v>
      </c>
      <c r="Y18" s="89">
        <f t="shared" si="21"/>
        <v>0</v>
      </c>
      <c r="Z18" s="89">
        <f t="shared" si="22"/>
        <v>0</v>
      </c>
      <c r="AA18" s="89">
        <f t="shared" si="23"/>
        <v>0</v>
      </c>
      <c r="AB18" s="88" t="str">
        <f t="shared" si="29"/>
        <v>USA</v>
      </c>
      <c r="AC18" s="89">
        <f t="shared" si="24"/>
        <v>0</v>
      </c>
      <c r="AD18" s="73">
        <f t="shared" si="25"/>
        <v>0</v>
      </c>
      <c r="AE18" s="73">
        <f t="shared" si="26"/>
        <v>0</v>
      </c>
      <c r="AH18" s="116"/>
      <c r="AX18" s="177"/>
      <c r="AY18" s="182"/>
      <c r="AZ18" s="177"/>
      <c r="BA18" s="181"/>
      <c r="BB18" s="177"/>
      <c r="BC18" s="181"/>
      <c r="BD18" s="181"/>
      <c r="BE18" s="181"/>
      <c r="BF18" s="181"/>
      <c r="BG18" s="178"/>
      <c r="BJ18" s="49"/>
      <c r="BK18" s="49"/>
      <c r="BL18" s="49"/>
      <c r="BM18" s="49"/>
      <c r="BO18" s="87">
        <v>15</v>
      </c>
      <c r="BP18" s="16"/>
      <c r="BQ18" s="157"/>
      <c r="BR18" s="162"/>
    </row>
    <row r="19" spans="2:70" ht="14.25" customHeight="1" x14ac:dyDescent="0.25">
      <c r="C19" s="38"/>
      <c r="E19" s="117"/>
      <c r="I19" s="115"/>
      <c r="J19" s="24"/>
      <c r="M19" s="23"/>
      <c r="N19" s="23"/>
      <c r="O19" s="23"/>
      <c r="P19" s="23"/>
      <c r="R19" s="6"/>
      <c r="S19" s="49"/>
      <c r="T19" s="153"/>
      <c r="U19" s="49"/>
      <c r="V19" s="26"/>
      <c r="AX19" s="177"/>
      <c r="AY19" s="182"/>
      <c r="AZ19" s="177"/>
      <c r="BA19" s="181"/>
      <c r="BB19" s="177"/>
      <c r="BC19" s="181"/>
      <c r="BD19" s="181"/>
      <c r="BE19" s="181"/>
      <c r="BF19" s="181"/>
      <c r="BG19" s="178"/>
      <c r="BJ19" s="49"/>
      <c r="BK19" s="49"/>
      <c r="BL19" s="49"/>
      <c r="BM19" s="49"/>
      <c r="BO19" s="87">
        <v>16</v>
      </c>
      <c r="BP19" s="16"/>
      <c r="BQ19" s="157"/>
      <c r="BR19" s="162"/>
    </row>
    <row r="20" spans="2:70" s="26" customFormat="1" ht="12.75" customHeight="1" x14ac:dyDescent="0.25">
      <c r="B20" s="6" t="s">
        <v>38</v>
      </c>
      <c r="C20" s="104"/>
      <c r="D20" s="117"/>
      <c r="E20" s="27"/>
      <c r="F20" s="117"/>
      <c r="G20" s="27"/>
      <c r="H20" s="27"/>
      <c r="I20" s="117"/>
      <c r="J20" s="117"/>
      <c r="K20" s="25"/>
      <c r="M20" s="27"/>
      <c r="N20" s="27"/>
      <c r="O20" s="27"/>
      <c r="P20" s="27"/>
      <c r="R20" s="154"/>
      <c r="S20" s="24"/>
      <c r="T20" s="24"/>
      <c r="U20" s="155"/>
      <c r="X20" s="70"/>
      <c r="Y20" s="89"/>
      <c r="Z20" s="89"/>
      <c r="AA20" s="89"/>
      <c r="AB20" s="70"/>
      <c r="AC20" s="107"/>
      <c r="AD20" s="108"/>
      <c r="AE20" s="108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75"/>
      <c r="AY20" s="183"/>
      <c r="AZ20" s="175"/>
      <c r="BA20" s="179"/>
      <c r="BB20" s="175"/>
      <c r="BC20" s="179"/>
      <c r="BD20" s="179"/>
      <c r="BE20" s="179"/>
      <c r="BF20" s="179"/>
      <c r="BG20" s="179"/>
      <c r="BH20" s="110"/>
      <c r="BI20" s="1"/>
      <c r="BJ20" s="24"/>
      <c r="BK20" s="24"/>
      <c r="BL20" s="24"/>
      <c r="BM20" s="24"/>
      <c r="BO20" s="87">
        <v>17</v>
      </c>
      <c r="BP20" s="16"/>
      <c r="BQ20" s="157"/>
      <c r="BR20" s="162"/>
    </row>
    <row r="21" spans="2:70" s="26" customFormat="1" ht="14.25" customHeight="1" x14ac:dyDescent="0.25">
      <c r="B21" s="119" t="s">
        <v>2</v>
      </c>
      <c r="C21" s="112" t="s">
        <v>3</v>
      </c>
      <c r="D21" s="207" t="s">
        <v>2</v>
      </c>
      <c r="E21" s="208"/>
      <c r="F21" s="209"/>
      <c r="G21" s="208" t="s">
        <v>4</v>
      </c>
      <c r="H21" s="208"/>
      <c r="I21" s="208"/>
      <c r="J21" s="28" t="s">
        <v>69</v>
      </c>
      <c r="K21" s="25"/>
      <c r="L21" s="8" t="s">
        <v>38</v>
      </c>
      <c r="M21" s="9" t="s">
        <v>75</v>
      </c>
      <c r="N21" s="9" t="s">
        <v>76</v>
      </c>
      <c r="O21" s="9" t="s">
        <v>77</v>
      </c>
      <c r="P21" s="10" t="s">
        <v>87</v>
      </c>
      <c r="V21" s="120"/>
      <c r="X21" s="81" t="s">
        <v>73</v>
      </c>
      <c r="Y21" s="81" t="s">
        <v>75</v>
      </c>
      <c r="Z21" s="81" t="s">
        <v>76</v>
      </c>
      <c r="AA21" s="81" t="s">
        <v>77</v>
      </c>
      <c r="AB21" s="81" t="s">
        <v>74</v>
      </c>
      <c r="AC21" s="81" t="s">
        <v>75</v>
      </c>
      <c r="AD21" s="81" t="s">
        <v>76</v>
      </c>
      <c r="AE21" s="81" t="s">
        <v>77</v>
      </c>
      <c r="AF21" s="107"/>
      <c r="AG21" s="82" t="s">
        <v>85</v>
      </c>
      <c r="AH21" s="82" t="s">
        <v>84</v>
      </c>
      <c r="AI21" s="82" t="s">
        <v>83</v>
      </c>
      <c r="AJ21" s="81" t="s">
        <v>82</v>
      </c>
      <c r="AK21" s="81" t="s">
        <v>81</v>
      </c>
      <c r="AL21" s="81" t="s">
        <v>78</v>
      </c>
      <c r="AM21" s="81" t="s">
        <v>75</v>
      </c>
      <c r="AN21" s="81" t="s">
        <v>76</v>
      </c>
      <c r="AO21" s="81" t="s">
        <v>77</v>
      </c>
      <c r="AP21" s="82" t="s">
        <v>79</v>
      </c>
      <c r="AQ21" s="107"/>
      <c r="AR21" s="81" t="s">
        <v>80</v>
      </c>
      <c r="AS21" s="81" t="s">
        <v>78</v>
      </c>
      <c r="AT21" s="81" t="s">
        <v>75</v>
      </c>
      <c r="AU21" s="81" t="s">
        <v>76</v>
      </c>
      <c r="AV21" s="81" t="s">
        <v>77</v>
      </c>
      <c r="AW21" s="82" t="s">
        <v>79</v>
      </c>
      <c r="AX21" s="175"/>
      <c r="AY21" s="175"/>
      <c r="AZ21" s="206"/>
      <c r="BA21" s="206"/>
      <c r="BB21" s="206"/>
      <c r="BC21" s="206"/>
      <c r="BD21" s="206"/>
      <c r="BE21" s="206"/>
      <c r="BF21" s="179"/>
      <c r="BG21" s="179"/>
      <c r="BH21" s="110"/>
      <c r="BI21" s="114"/>
      <c r="BJ21" s="24"/>
      <c r="BK21" s="24"/>
      <c r="BL21" s="24"/>
      <c r="BM21" s="24"/>
      <c r="BO21" s="87">
        <v>18</v>
      </c>
      <c r="BP21" s="16"/>
      <c r="BQ21" s="157"/>
      <c r="BR21" s="162"/>
    </row>
    <row r="22" spans="2:70" ht="14.25" customHeight="1" x14ac:dyDescent="0.25">
      <c r="B22" s="16">
        <v>7</v>
      </c>
      <c r="C22" s="95">
        <v>44887</v>
      </c>
      <c r="D22" s="84" t="s">
        <v>10</v>
      </c>
      <c r="E22" s="85" t="s">
        <v>6</v>
      </c>
      <c r="F22" s="86" t="s">
        <v>150</v>
      </c>
      <c r="G22" s="62"/>
      <c r="H22" s="87" t="s">
        <v>6</v>
      </c>
      <c r="I22" s="62"/>
      <c r="J22" s="64" t="str">
        <f>IF(OR(ISBLANK(G22),ISBLANK(I22)),"",IF(G22&gt;I22,1,IF(G22&lt;I22,2,"X")))</f>
        <v/>
      </c>
      <c r="K22" s="12">
        <v>1</v>
      </c>
      <c r="L22" s="13" t="str">
        <f>VLOOKUP(K22,$AR$22:$AW$25,2,FALSE)</f>
        <v>Argentina</v>
      </c>
      <c r="M22" s="14">
        <f>VLOOKUP(L22,$AS$22:$AW$25,2,FALSE)</f>
        <v>0</v>
      </c>
      <c r="N22" s="14">
        <f>VLOOKUP(L22,$AS$22:$AW$25,3,FALSE)</f>
        <v>0</v>
      </c>
      <c r="O22" s="14">
        <f>VLOOKUP(L22,$AS$22:$AW$25,4,FALSE)</f>
        <v>0</v>
      </c>
      <c r="P22" s="15">
        <f>VLOOKUP(L22,$AS$22:$AW$25,5,FALSE)</f>
        <v>0</v>
      </c>
      <c r="R22" s="5"/>
      <c r="S22" s="5"/>
      <c r="T22" s="5"/>
      <c r="U22" s="5"/>
      <c r="V22" s="5"/>
      <c r="X22" s="88" t="str">
        <f>D22</f>
        <v>Mexiko</v>
      </c>
      <c r="Y22" s="89">
        <f t="shared" ref="Y22:Y27" si="30">IF(G22="",0,IF($G22&lt;$I22,0,IF($G22=$I22,1,3)))</f>
        <v>0</v>
      </c>
      <c r="Z22" s="89">
        <f t="shared" ref="Z22:Z27" si="31">G22</f>
        <v>0</v>
      </c>
      <c r="AA22" s="89">
        <f t="shared" ref="AA22:AA27" si="32">I22</f>
        <v>0</v>
      </c>
      <c r="AB22" s="88" t="str">
        <f>F22</f>
        <v>Polen</v>
      </c>
      <c r="AC22" s="89">
        <f t="shared" ref="AC22:AC27" si="33">IF(I22="",0,IF(I22&lt;G22,0,IF(I22=G22,1,3)))</f>
        <v>0</v>
      </c>
      <c r="AD22" s="73">
        <f t="shared" ref="AD22:AD27" si="34">I22</f>
        <v>0</v>
      </c>
      <c r="AE22" s="73">
        <f t="shared" ref="AE22:AE27" si="35">G22</f>
        <v>0</v>
      </c>
      <c r="AG22" s="72">
        <f>RANK($AH22,$AH$22:$AH$25,1)+COUNTIF($AH$22:$AH22,$AH22)-1</f>
        <v>1</v>
      </c>
      <c r="AH22" s="72">
        <f>AI22+AJ22+AK22</f>
        <v>1</v>
      </c>
      <c r="AI22" s="72">
        <f>SUMPRODUCT(($AM$22:$AM$25=AM22)*($AP$22:$AP$25=AP22)*($AN$22:$AN$25&gt;AN22))</f>
        <v>0</v>
      </c>
      <c r="AJ22" s="72">
        <f>SUMPRODUCT(($AM$22:$AM$25=AM22)*($AP$22:$AP$25&gt;AP22))</f>
        <v>0</v>
      </c>
      <c r="AK22" s="72">
        <f>RANK(AM22,$AM$22:$AM$25)</f>
        <v>1</v>
      </c>
      <c r="AL22" s="88" t="s">
        <v>60</v>
      </c>
      <c r="AM22" s="72">
        <f>SUMIF($X$22:$X$27,$AL22,$Y$22:$Y$27)+SUMIF($AB$22:$AB$27,$AL22,$AC$22:$AC$27)</f>
        <v>0</v>
      </c>
      <c r="AN22" s="72">
        <f>SUMIF($X$22:$X$27,$AL22,$Z$22:$Z$27)+SUMIF($AB$22:$AB$27,$AL22,$AD$22:$AD$27)</f>
        <v>0</v>
      </c>
      <c r="AO22" s="72">
        <f>SUMIF($X$22:$X$27,$AL22,$AA$22:$AA$27)+SUMIF($AB$22:$AB$27,$AL22,$AE$22:$AE$27)</f>
        <v>0</v>
      </c>
      <c r="AP22" s="72">
        <f>AN22-AO22</f>
        <v>0</v>
      </c>
      <c r="AR22" s="72">
        <v>1</v>
      </c>
      <c r="AS22" s="72" t="str">
        <f>VLOOKUP($AR22,$AG$22:$AP$25,6,FALSE)</f>
        <v>Argentina</v>
      </c>
      <c r="AT22" s="72">
        <f>VLOOKUP($AS22,$AL$22:$AP$25,2,FALSE)</f>
        <v>0</v>
      </c>
      <c r="AU22" s="72">
        <f>VLOOKUP($AS22,$AL$22:$AP$25,3,FALSE)</f>
        <v>0</v>
      </c>
      <c r="AV22" s="72">
        <f>VLOOKUP($AS22,$AL$22:$AP$25,4,FALSE)</f>
        <v>0</v>
      </c>
      <c r="AW22" s="72">
        <f>VLOOKUP($AS22,$AL$22:$AP$25,5,FALSE)</f>
        <v>0</v>
      </c>
      <c r="AX22" s="177"/>
      <c r="AY22" s="182"/>
      <c r="AZ22" s="177"/>
      <c r="BA22" s="181"/>
      <c r="BB22" s="177"/>
      <c r="BC22" s="181"/>
      <c r="BD22" s="181"/>
      <c r="BE22" s="181"/>
      <c r="BF22" s="181"/>
      <c r="BG22" s="178"/>
      <c r="BH22" s="94"/>
      <c r="BI22" s="74"/>
      <c r="BJ22" s="49"/>
      <c r="BK22" s="49"/>
      <c r="BL22" s="49"/>
      <c r="BM22" s="49"/>
      <c r="BO22" s="87">
        <v>19</v>
      </c>
      <c r="BP22" s="16"/>
      <c r="BQ22" s="157"/>
      <c r="BR22" s="162"/>
    </row>
    <row r="23" spans="2:70" ht="14.25" customHeight="1" x14ac:dyDescent="0.25">
      <c r="B23" s="16">
        <v>8</v>
      </c>
      <c r="C23" s="95">
        <v>44887</v>
      </c>
      <c r="D23" s="84" t="s">
        <v>60</v>
      </c>
      <c r="E23" s="85" t="s">
        <v>6</v>
      </c>
      <c r="F23" s="86" t="s">
        <v>195</v>
      </c>
      <c r="G23" s="62"/>
      <c r="H23" s="87" t="s">
        <v>6</v>
      </c>
      <c r="I23" s="62"/>
      <c r="J23" s="64" t="str">
        <f t="shared" ref="J23:J27" si="36">IF(OR(ISBLANK(G23),ISBLANK(I23)),"",IF(G23&gt;I23,1,IF(G23&lt;I23,2,"X")))</f>
        <v/>
      </c>
      <c r="K23" s="2">
        <v>2</v>
      </c>
      <c r="L23" s="17" t="str">
        <f>VLOOKUP(K23,$AR$22:$AW$25,2,FALSE)</f>
        <v>Saudiarabien</v>
      </c>
      <c r="M23" s="18">
        <f>VLOOKUP(L23,$AS$22:$AW$25,2,FALSE)</f>
        <v>0</v>
      </c>
      <c r="N23" s="18">
        <f>VLOOKUP(L23,$AS$22:$AW$25,3,FALSE)</f>
        <v>0</v>
      </c>
      <c r="O23" s="18">
        <f>VLOOKUP(L23,$AS$22:$AW$25,4,FALSE)</f>
        <v>0</v>
      </c>
      <c r="P23" s="19">
        <f>VLOOKUP(L23,$AS$22:$AW$25,5,FALSE)</f>
        <v>0</v>
      </c>
      <c r="R23" s="5"/>
      <c r="S23" s="5"/>
      <c r="T23" s="5"/>
      <c r="U23" s="5"/>
      <c r="V23" s="5"/>
      <c r="X23" s="88" t="str">
        <f t="shared" ref="X23:X27" si="37">D23</f>
        <v>Argentina</v>
      </c>
      <c r="Y23" s="89">
        <f t="shared" si="30"/>
        <v>0</v>
      </c>
      <c r="Z23" s="89">
        <f t="shared" si="31"/>
        <v>0</v>
      </c>
      <c r="AA23" s="89">
        <f t="shared" si="32"/>
        <v>0</v>
      </c>
      <c r="AB23" s="88" t="str">
        <f t="shared" ref="AB23:AB27" si="38">F23</f>
        <v>Saudiarabien</v>
      </c>
      <c r="AC23" s="89">
        <f t="shared" si="33"/>
        <v>0</v>
      </c>
      <c r="AD23" s="73">
        <f t="shared" si="34"/>
        <v>0</v>
      </c>
      <c r="AE23" s="73">
        <f t="shared" si="35"/>
        <v>0</v>
      </c>
      <c r="AG23" s="72">
        <f>RANK($AH23,$AH$22:$AH$25,1)+COUNTIF($AH$22:$AH23,$AH23)-1</f>
        <v>2</v>
      </c>
      <c r="AH23" s="72">
        <f>AI23+AJ23+AK23</f>
        <v>1</v>
      </c>
      <c r="AI23" s="72">
        <f t="shared" ref="AI23:AI25" si="39">SUMPRODUCT(($AM$22:$AM$25=AM23)*($AP$22:$AP$25=AP23)*($AN$22:$AN$25&gt;AN23))</f>
        <v>0</v>
      </c>
      <c r="AJ23" s="72">
        <f t="shared" ref="AJ23:AJ25" si="40">SUMPRODUCT(($AM$22:$AM$25=AM23)*($AP$22:$AP$25&gt;AP23))</f>
        <v>0</v>
      </c>
      <c r="AK23" s="72">
        <f t="shared" ref="AK23:AK25" si="41">RANK(AM23,$AM$22:$AM$25)</f>
        <v>1</v>
      </c>
      <c r="AL23" s="73" t="s">
        <v>195</v>
      </c>
      <c r="AM23" s="72">
        <f t="shared" ref="AM23:AM25" si="42">SUMIF($X$22:$X$27,$AL23,$Y$22:$Y$27)+SUMIF($AB$22:$AB$27,$AL23,$AC$22:$AC$27)</f>
        <v>0</v>
      </c>
      <c r="AN23" s="72">
        <f t="shared" ref="AN23:AN25" si="43">SUMIF($X$22:$X$27,$AL23,$Z$22:$Z$27)+SUMIF($AB$22:$AB$27,$AL23,$AD$22:$AD$27)</f>
        <v>0</v>
      </c>
      <c r="AO23" s="72">
        <f t="shared" ref="AO23:AO25" si="44">SUMIF($X$22:$X$27,$AL23,$AA$22:$AA$27)+SUMIF($AB$22:$AB$27,$AL23,$AE$22:$AE$27)</f>
        <v>0</v>
      </c>
      <c r="AP23" s="72">
        <f t="shared" ref="AP23:AP25" si="45">AN23-AO23</f>
        <v>0</v>
      </c>
      <c r="AR23" s="72">
        <v>2</v>
      </c>
      <c r="AS23" s="72" t="str">
        <f t="shared" ref="AS23:AS25" si="46">VLOOKUP($AR23,$AG$22:$AP$25,6,FALSE)</f>
        <v>Saudiarabien</v>
      </c>
      <c r="AT23" s="72">
        <f t="shared" ref="AT23:AT25" si="47">VLOOKUP($AS23,$AL$22:$AP$25,2,FALSE)</f>
        <v>0</v>
      </c>
      <c r="AU23" s="72">
        <f t="shared" ref="AU23:AU25" si="48">VLOOKUP($AS23,$AL$22:$AP$25,3,FALSE)</f>
        <v>0</v>
      </c>
      <c r="AV23" s="72">
        <f t="shared" ref="AV23:AV25" si="49">VLOOKUP($AS23,$AL$22:$AP$25,4,FALSE)</f>
        <v>0</v>
      </c>
      <c r="AW23" s="72">
        <f t="shared" ref="AW23:AW25" si="50">VLOOKUP($AS23,$AL$22:$AP$25,5,FALSE)</f>
        <v>0</v>
      </c>
      <c r="AX23" s="177"/>
      <c r="AY23" s="182"/>
      <c r="AZ23" s="184"/>
      <c r="BA23" s="181"/>
      <c r="BB23" s="177"/>
      <c r="BC23" s="181"/>
      <c r="BD23" s="181"/>
      <c r="BE23" s="181"/>
      <c r="BF23" s="181"/>
      <c r="BG23" s="178"/>
      <c r="BI23" s="74"/>
      <c r="BJ23" s="49"/>
      <c r="BK23" s="49"/>
      <c r="BL23" s="49"/>
      <c r="BM23" s="49"/>
      <c r="BO23" s="87">
        <v>20</v>
      </c>
      <c r="BP23" s="16"/>
      <c r="BQ23" s="157"/>
      <c r="BR23" s="162"/>
    </row>
    <row r="24" spans="2:70" ht="14.25" customHeight="1" x14ac:dyDescent="0.25">
      <c r="B24" s="16">
        <v>22</v>
      </c>
      <c r="C24" s="95">
        <v>44891</v>
      </c>
      <c r="D24" s="84" t="s">
        <v>150</v>
      </c>
      <c r="E24" s="85" t="s">
        <v>6</v>
      </c>
      <c r="F24" s="86" t="s">
        <v>195</v>
      </c>
      <c r="G24" s="62"/>
      <c r="H24" s="87" t="s">
        <v>6</v>
      </c>
      <c r="I24" s="62"/>
      <c r="J24" s="64" t="str">
        <f t="shared" si="36"/>
        <v/>
      </c>
      <c r="K24" s="2">
        <v>3</v>
      </c>
      <c r="L24" s="137" t="str">
        <f>VLOOKUP(K24,$AR$22:$AW$25,2,FALSE)</f>
        <v>Mexiko</v>
      </c>
      <c r="M24" s="32">
        <f>VLOOKUP(L24,$AS$22:$AW$25,2,FALSE)</f>
        <v>0</v>
      </c>
      <c r="N24" s="32">
        <f>VLOOKUP(L24,$AS$22:$AW$25,3,FALSE)</f>
        <v>0</v>
      </c>
      <c r="O24" s="32">
        <f>VLOOKUP(L24,$AS$22:$AW$25,4,FALSE)</f>
        <v>0</v>
      </c>
      <c r="P24" s="33">
        <f>VLOOKUP(L24,$AS$22:$AW$25,5,FALSE)</f>
        <v>0</v>
      </c>
      <c r="R24" s="5"/>
      <c r="S24" s="5"/>
      <c r="T24" s="5"/>
      <c r="U24" s="5"/>
      <c r="V24" s="5"/>
      <c r="X24" s="88" t="str">
        <f t="shared" si="37"/>
        <v>Polen</v>
      </c>
      <c r="Y24" s="89">
        <f t="shared" si="30"/>
        <v>0</v>
      </c>
      <c r="Z24" s="89">
        <f t="shared" si="31"/>
        <v>0</v>
      </c>
      <c r="AA24" s="89">
        <f t="shared" si="32"/>
        <v>0</v>
      </c>
      <c r="AB24" s="88" t="str">
        <f t="shared" si="38"/>
        <v>Saudiarabien</v>
      </c>
      <c r="AC24" s="89">
        <f t="shared" si="33"/>
        <v>0</v>
      </c>
      <c r="AD24" s="73">
        <f t="shared" si="34"/>
        <v>0</v>
      </c>
      <c r="AE24" s="73">
        <f t="shared" si="35"/>
        <v>0</v>
      </c>
      <c r="AG24" s="72">
        <f>RANK($AH24,$AH$22:$AH$25,1)+COUNTIF($AH$22:$AH24,$AH24)-1</f>
        <v>3</v>
      </c>
      <c r="AH24" s="72">
        <f>AI24+AJ24+AK24</f>
        <v>1</v>
      </c>
      <c r="AI24" s="72">
        <f t="shared" si="39"/>
        <v>0</v>
      </c>
      <c r="AJ24" s="72">
        <f t="shared" si="40"/>
        <v>0</v>
      </c>
      <c r="AK24" s="72">
        <f t="shared" si="41"/>
        <v>1</v>
      </c>
      <c r="AL24" s="88" t="s">
        <v>10</v>
      </c>
      <c r="AM24" s="72">
        <f t="shared" si="42"/>
        <v>0</v>
      </c>
      <c r="AN24" s="72">
        <f t="shared" si="43"/>
        <v>0</v>
      </c>
      <c r="AO24" s="72">
        <f t="shared" si="44"/>
        <v>0</v>
      </c>
      <c r="AP24" s="72">
        <f t="shared" si="45"/>
        <v>0</v>
      </c>
      <c r="AR24" s="72">
        <v>3</v>
      </c>
      <c r="AS24" s="72" t="str">
        <f t="shared" si="46"/>
        <v>Mexiko</v>
      </c>
      <c r="AT24" s="72">
        <f t="shared" si="47"/>
        <v>0</v>
      </c>
      <c r="AU24" s="72">
        <f t="shared" si="48"/>
        <v>0</v>
      </c>
      <c r="AV24" s="72">
        <f t="shared" si="49"/>
        <v>0</v>
      </c>
      <c r="AW24" s="72">
        <f t="shared" si="50"/>
        <v>0</v>
      </c>
      <c r="AX24" s="177"/>
      <c r="AY24" s="182"/>
      <c r="AZ24" s="177"/>
      <c r="BA24" s="181"/>
      <c r="BB24" s="177"/>
      <c r="BC24" s="181"/>
      <c r="BD24" s="181"/>
      <c r="BE24" s="181"/>
      <c r="BF24" s="181"/>
      <c r="BG24" s="178"/>
      <c r="BI24" s="45"/>
      <c r="BJ24" s="49"/>
      <c r="BK24" s="49"/>
      <c r="BL24" s="49"/>
      <c r="BM24" s="49"/>
      <c r="BO24" s="87">
        <v>21</v>
      </c>
      <c r="BP24" s="16"/>
      <c r="BQ24" s="157"/>
      <c r="BR24" s="162"/>
    </row>
    <row r="25" spans="2:70" ht="14.25" customHeight="1" x14ac:dyDescent="0.25">
      <c r="B25" s="16">
        <v>24</v>
      </c>
      <c r="C25" s="95">
        <v>44891</v>
      </c>
      <c r="D25" s="84" t="s">
        <v>60</v>
      </c>
      <c r="E25" s="85" t="s">
        <v>6</v>
      </c>
      <c r="F25" s="86" t="s">
        <v>10</v>
      </c>
      <c r="G25" s="62"/>
      <c r="H25" s="87" t="s">
        <v>6</v>
      </c>
      <c r="I25" s="62"/>
      <c r="J25" s="64" t="str">
        <f t="shared" si="36"/>
        <v/>
      </c>
      <c r="K25" s="2">
        <v>4</v>
      </c>
      <c r="L25" s="21" t="str">
        <f>VLOOKUP(K25,$AR$22:$AW$25,2,FALSE)</f>
        <v>Polen</v>
      </c>
      <c r="M25" s="18">
        <f>VLOOKUP(L25,$AS$22:$AW$25,2,FALSE)</f>
        <v>0</v>
      </c>
      <c r="N25" s="18">
        <f>VLOOKUP(L25,$AS$22:$AW$25,3,FALSE)</f>
        <v>0</v>
      </c>
      <c r="O25" s="18">
        <f>VLOOKUP(L25,$AS$22:$AW$25,4,FALSE)</f>
        <v>0</v>
      </c>
      <c r="P25" s="19">
        <f>VLOOKUP(L25,$AS$22:$AW$25,5,FALSE)</f>
        <v>0</v>
      </c>
      <c r="R25" s="5"/>
      <c r="S25" s="5"/>
      <c r="T25" s="5"/>
      <c r="U25" s="5"/>
      <c r="V25" s="5"/>
      <c r="X25" s="88" t="str">
        <f t="shared" si="37"/>
        <v>Argentina</v>
      </c>
      <c r="Y25" s="89">
        <f t="shared" si="30"/>
        <v>0</v>
      </c>
      <c r="Z25" s="89">
        <f t="shared" si="31"/>
        <v>0</v>
      </c>
      <c r="AA25" s="89">
        <f t="shared" si="32"/>
        <v>0</v>
      </c>
      <c r="AB25" s="88" t="str">
        <f t="shared" si="38"/>
        <v>Mexiko</v>
      </c>
      <c r="AC25" s="89">
        <f t="shared" si="33"/>
        <v>0</v>
      </c>
      <c r="AD25" s="73">
        <f t="shared" si="34"/>
        <v>0</v>
      </c>
      <c r="AE25" s="73">
        <f t="shared" si="35"/>
        <v>0</v>
      </c>
      <c r="AG25" s="72">
        <f>RANK($AH25,$AH$22:$AH$25,1)+COUNTIF($AH$22:$AH25,$AH25)-1</f>
        <v>4</v>
      </c>
      <c r="AH25" s="72">
        <f>AI25+AJ25+AK25</f>
        <v>1</v>
      </c>
      <c r="AI25" s="72">
        <f t="shared" si="39"/>
        <v>0</v>
      </c>
      <c r="AJ25" s="72">
        <f t="shared" si="40"/>
        <v>0</v>
      </c>
      <c r="AK25" s="72">
        <f t="shared" si="41"/>
        <v>1</v>
      </c>
      <c r="AL25" s="88" t="s">
        <v>150</v>
      </c>
      <c r="AM25" s="72">
        <f t="shared" si="42"/>
        <v>0</v>
      </c>
      <c r="AN25" s="72">
        <f t="shared" si="43"/>
        <v>0</v>
      </c>
      <c r="AO25" s="72">
        <f t="shared" si="44"/>
        <v>0</v>
      </c>
      <c r="AP25" s="72">
        <f t="shared" si="45"/>
        <v>0</v>
      </c>
      <c r="AR25" s="72">
        <v>4</v>
      </c>
      <c r="AS25" s="72" t="str">
        <f t="shared" si="46"/>
        <v>Polen</v>
      </c>
      <c r="AT25" s="72">
        <f t="shared" si="47"/>
        <v>0</v>
      </c>
      <c r="AU25" s="72">
        <f t="shared" si="48"/>
        <v>0</v>
      </c>
      <c r="AV25" s="72">
        <f t="shared" si="49"/>
        <v>0</v>
      </c>
      <c r="AW25" s="72">
        <f t="shared" si="50"/>
        <v>0</v>
      </c>
      <c r="AX25" s="177"/>
      <c r="AY25" s="182"/>
      <c r="AZ25" s="177"/>
      <c r="BA25" s="181"/>
      <c r="BB25" s="177"/>
      <c r="BC25" s="181"/>
      <c r="BD25" s="181"/>
      <c r="BE25" s="181"/>
      <c r="BF25" s="181"/>
      <c r="BG25" s="178"/>
      <c r="BI25" s="45"/>
      <c r="BJ25" s="49"/>
      <c r="BK25" s="49"/>
      <c r="BL25" s="49"/>
      <c r="BM25" s="49"/>
      <c r="BO25" s="87">
        <v>22</v>
      </c>
      <c r="BP25" s="16"/>
      <c r="BQ25" s="157"/>
      <c r="BR25" s="162"/>
    </row>
    <row r="26" spans="2:70" ht="14.25" customHeight="1" x14ac:dyDescent="0.25">
      <c r="B26" s="16">
        <v>37</v>
      </c>
      <c r="C26" s="95">
        <v>44895</v>
      </c>
      <c r="D26" s="84" t="s">
        <v>150</v>
      </c>
      <c r="E26" s="85" t="s">
        <v>6</v>
      </c>
      <c r="F26" s="86" t="s">
        <v>60</v>
      </c>
      <c r="G26" s="62"/>
      <c r="H26" s="87" t="s">
        <v>6</v>
      </c>
      <c r="I26" s="62"/>
      <c r="J26" s="64" t="str">
        <f t="shared" si="36"/>
        <v/>
      </c>
      <c r="L26" s="187">
        <f>COUNTBLANK(G22:G27)+COUNTBLANK(I22:I27)</f>
        <v>12</v>
      </c>
      <c r="M26" s="23"/>
      <c r="N26" s="23"/>
      <c r="O26" s="23"/>
      <c r="P26" s="23"/>
      <c r="R26" s="5"/>
      <c r="S26" s="5"/>
      <c r="T26" s="5"/>
      <c r="U26" s="5"/>
      <c r="V26" s="5"/>
      <c r="X26" s="88" t="str">
        <f t="shared" si="37"/>
        <v>Polen</v>
      </c>
      <c r="Y26" s="89">
        <f t="shared" si="30"/>
        <v>0</v>
      </c>
      <c r="Z26" s="89">
        <f t="shared" si="31"/>
        <v>0</v>
      </c>
      <c r="AA26" s="89">
        <f t="shared" si="32"/>
        <v>0</v>
      </c>
      <c r="AB26" s="88" t="str">
        <f t="shared" si="38"/>
        <v>Argentina</v>
      </c>
      <c r="AC26" s="89">
        <f t="shared" si="33"/>
        <v>0</v>
      </c>
      <c r="AD26" s="73">
        <f t="shared" si="34"/>
        <v>0</v>
      </c>
      <c r="AE26" s="73">
        <f t="shared" si="35"/>
        <v>0</v>
      </c>
      <c r="AX26" s="177"/>
      <c r="AY26" s="182"/>
      <c r="AZ26" s="177"/>
      <c r="BA26" s="181"/>
      <c r="BB26" s="177"/>
      <c r="BC26" s="181"/>
      <c r="BD26" s="181"/>
      <c r="BE26" s="181"/>
      <c r="BF26" s="181"/>
      <c r="BG26" s="178"/>
      <c r="BJ26" s="49"/>
      <c r="BK26" s="49"/>
      <c r="BL26" s="49"/>
      <c r="BM26" s="49"/>
      <c r="BO26" s="87">
        <v>23</v>
      </c>
      <c r="BP26" s="16"/>
      <c r="BQ26" s="157"/>
      <c r="BR26" s="162"/>
    </row>
    <row r="27" spans="2:70" ht="14.25" customHeight="1" x14ac:dyDescent="0.25">
      <c r="B27" s="16">
        <v>38</v>
      </c>
      <c r="C27" s="95">
        <v>44895</v>
      </c>
      <c r="D27" s="84" t="s">
        <v>195</v>
      </c>
      <c r="E27" s="85" t="s">
        <v>6</v>
      </c>
      <c r="F27" s="86" t="s">
        <v>10</v>
      </c>
      <c r="G27" s="62"/>
      <c r="H27" s="87" t="s">
        <v>6</v>
      </c>
      <c r="I27" s="62"/>
      <c r="J27" s="64" t="str">
        <f t="shared" si="36"/>
        <v/>
      </c>
      <c r="M27" s="23"/>
      <c r="N27" s="23"/>
      <c r="O27" s="23"/>
      <c r="P27" s="23"/>
      <c r="R27" s="5"/>
      <c r="S27" s="5"/>
      <c r="T27" s="5"/>
      <c r="U27" s="5"/>
      <c r="V27" s="5"/>
      <c r="X27" s="88" t="str">
        <f t="shared" si="37"/>
        <v>Saudiarabien</v>
      </c>
      <c r="Y27" s="89">
        <f t="shared" si="30"/>
        <v>0</v>
      </c>
      <c r="Z27" s="89">
        <f t="shared" si="31"/>
        <v>0</v>
      </c>
      <c r="AA27" s="89">
        <f t="shared" si="32"/>
        <v>0</v>
      </c>
      <c r="AB27" s="88" t="str">
        <f t="shared" si="38"/>
        <v>Mexiko</v>
      </c>
      <c r="AC27" s="89">
        <f t="shared" si="33"/>
        <v>0</v>
      </c>
      <c r="AD27" s="73">
        <f t="shared" si="34"/>
        <v>0</v>
      </c>
      <c r="AE27" s="73">
        <f t="shared" si="35"/>
        <v>0</v>
      </c>
      <c r="AX27" s="177"/>
      <c r="AY27" s="182"/>
      <c r="AZ27" s="177"/>
      <c r="BA27" s="181"/>
      <c r="BB27" s="177"/>
      <c r="BC27" s="181"/>
      <c r="BD27" s="181"/>
      <c r="BE27" s="181"/>
      <c r="BF27" s="181"/>
      <c r="BG27" s="178"/>
      <c r="BJ27" s="49"/>
      <c r="BK27" s="49"/>
      <c r="BL27" s="49"/>
      <c r="BM27" s="49"/>
      <c r="BO27" s="87">
        <v>24</v>
      </c>
      <c r="BP27" s="16"/>
      <c r="BQ27" s="157"/>
      <c r="BR27" s="162"/>
    </row>
    <row r="28" spans="2:70" ht="14.25" customHeight="1" x14ac:dyDescent="0.25">
      <c r="C28" s="38"/>
      <c r="J28" s="24"/>
      <c r="M28" s="23"/>
      <c r="N28" s="23"/>
      <c r="O28" s="23"/>
      <c r="P28" s="23"/>
      <c r="R28" s="5"/>
      <c r="S28" s="5"/>
      <c r="T28" s="5"/>
      <c r="U28" s="5"/>
      <c r="V28" s="5"/>
      <c r="AX28" s="177"/>
      <c r="AY28" s="182"/>
      <c r="AZ28" s="177"/>
      <c r="BA28" s="181"/>
      <c r="BB28" s="177"/>
      <c r="BC28" s="181"/>
      <c r="BD28" s="181"/>
      <c r="BE28" s="181"/>
      <c r="BF28" s="181"/>
      <c r="BG28" s="178"/>
      <c r="BJ28" s="49"/>
      <c r="BK28" s="49"/>
      <c r="BL28" s="49"/>
      <c r="BM28" s="49"/>
      <c r="BO28" s="87">
        <v>25</v>
      </c>
      <c r="BP28" s="16"/>
      <c r="BQ28" s="157"/>
      <c r="BR28" s="162"/>
    </row>
    <row r="29" spans="2:70" s="26" customFormat="1" ht="14.25" customHeight="1" x14ac:dyDescent="0.25">
      <c r="B29" s="6" t="s">
        <v>48</v>
      </c>
      <c r="C29" s="104"/>
      <c r="D29" s="68"/>
      <c r="E29" s="27"/>
      <c r="F29" s="68"/>
      <c r="G29" s="27"/>
      <c r="H29" s="27"/>
      <c r="I29" s="27"/>
      <c r="J29" s="24"/>
      <c r="K29" s="25"/>
      <c r="M29" s="27"/>
      <c r="N29" s="27"/>
      <c r="O29" s="27"/>
      <c r="P29" s="27"/>
      <c r="X29" s="70"/>
      <c r="Y29" s="89"/>
      <c r="Z29" s="89"/>
      <c r="AA29" s="89"/>
      <c r="AB29" s="70"/>
      <c r="AC29" s="107"/>
      <c r="AD29" s="108"/>
      <c r="AE29" s="108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75"/>
      <c r="AY29" s="183"/>
      <c r="AZ29" s="175"/>
      <c r="BA29" s="179"/>
      <c r="BB29" s="175"/>
      <c r="BC29" s="179"/>
      <c r="BD29" s="179"/>
      <c r="BE29" s="179"/>
      <c r="BF29" s="179"/>
      <c r="BG29" s="179"/>
      <c r="BH29" s="110"/>
      <c r="BI29" s="1"/>
      <c r="BJ29" s="24"/>
      <c r="BK29" s="24"/>
      <c r="BL29" s="24"/>
      <c r="BM29" s="24"/>
      <c r="BO29" s="87">
        <v>26</v>
      </c>
      <c r="BP29" s="16"/>
      <c r="BQ29" s="157"/>
      <c r="BR29" s="162"/>
    </row>
    <row r="30" spans="2:70" s="26" customFormat="1" ht="14.25" customHeight="1" x14ac:dyDescent="0.25">
      <c r="B30" s="119" t="s">
        <v>2</v>
      </c>
      <c r="C30" s="112" t="s">
        <v>3</v>
      </c>
      <c r="D30" s="207" t="s">
        <v>2</v>
      </c>
      <c r="E30" s="208"/>
      <c r="F30" s="209"/>
      <c r="G30" s="208" t="s">
        <v>4</v>
      </c>
      <c r="H30" s="208"/>
      <c r="I30" s="208"/>
      <c r="J30" s="28" t="s">
        <v>69</v>
      </c>
      <c r="K30" s="25"/>
      <c r="L30" s="8" t="s">
        <v>48</v>
      </c>
      <c r="M30" s="9" t="s">
        <v>75</v>
      </c>
      <c r="N30" s="9" t="s">
        <v>76</v>
      </c>
      <c r="O30" s="9" t="s">
        <v>77</v>
      </c>
      <c r="P30" s="10" t="s">
        <v>87</v>
      </c>
      <c r="X30" s="81" t="s">
        <v>73</v>
      </c>
      <c r="Y30" s="81" t="s">
        <v>75</v>
      </c>
      <c r="Z30" s="81" t="s">
        <v>76</v>
      </c>
      <c r="AA30" s="81" t="s">
        <v>77</v>
      </c>
      <c r="AB30" s="81" t="s">
        <v>74</v>
      </c>
      <c r="AC30" s="81" t="s">
        <v>75</v>
      </c>
      <c r="AD30" s="81" t="s">
        <v>76</v>
      </c>
      <c r="AE30" s="81" t="s">
        <v>77</v>
      </c>
      <c r="AF30" s="107"/>
      <c r="AG30" s="82" t="s">
        <v>85</v>
      </c>
      <c r="AH30" s="82" t="s">
        <v>84</v>
      </c>
      <c r="AI30" s="82" t="s">
        <v>83</v>
      </c>
      <c r="AJ30" s="81" t="s">
        <v>82</v>
      </c>
      <c r="AK30" s="81" t="s">
        <v>81</v>
      </c>
      <c r="AL30" s="81" t="s">
        <v>78</v>
      </c>
      <c r="AM30" s="81" t="s">
        <v>75</v>
      </c>
      <c r="AN30" s="81" t="s">
        <v>76</v>
      </c>
      <c r="AO30" s="81" t="s">
        <v>77</v>
      </c>
      <c r="AP30" s="82" t="s">
        <v>79</v>
      </c>
      <c r="AQ30" s="107"/>
      <c r="AR30" s="81" t="s">
        <v>80</v>
      </c>
      <c r="AS30" s="81" t="s">
        <v>78</v>
      </c>
      <c r="AT30" s="81" t="s">
        <v>75</v>
      </c>
      <c r="AU30" s="81" t="s">
        <v>76</v>
      </c>
      <c r="AV30" s="81" t="s">
        <v>77</v>
      </c>
      <c r="AW30" s="82" t="s">
        <v>79</v>
      </c>
      <c r="AX30" s="175"/>
      <c r="AY30" s="175"/>
      <c r="AZ30" s="206"/>
      <c r="BA30" s="206"/>
      <c r="BB30" s="206"/>
      <c r="BC30" s="206"/>
      <c r="BD30" s="206"/>
      <c r="BE30" s="206"/>
      <c r="BF30" s="179"/>
      <c r="BG30" s="179"/>
      <c r="BH30" s="110"/>
      <c r="BI30" s="114"/>
      <c r="BJ30" s="24"/>
      <c r="BK30" s="24"/>
      <c r="BL30" s="24"/>
      <c r="BM30" s="24"/>
      <c r="BO30" s="87">
        <v>27</v>
      </c>
      <c r="BP30" s="16"/>
      <c r="BQ30" s="157"/>
      <c r="BR30" s="162"/>
    </row>
    <row r="31" spans="2:70" ht="14.25" customHeight="1" x14ac:dyDescent="0.25">
      <c r="B31" s="16">
        <v>5</v>
      </c>
      <c r="C31" s="95">
        <v>44887</v>
      </c>
      <c r="D31" s="84" t="s">
        <v>58</v>
      </c>
      <c r="E31" s="85" t="s">
        <v>6</v>
      </c>
      <c r="F31" s="86" t="s">
        <v>29</v>
      </c>
      <c r="G31" s="62"/>
      <c r="H31" s="87" t="s">
        <v>6</v>
      </c>
      <c r="I31" s="62"/>
      <c r="J31" s="64" t="str">
        <f>IF(OR(ISBLANK(G31),ISBLANK(I31)),"",IF(G31&gt;I31,1,IF(G31&lt;I31,2,"X")))</f>
        <v/>
      </c>
      <c r="K31" s="12">
        <v>1</v>
      </c>
      <c r="L31" s="13" t="str">
        <f>VLOOKUP(K31,$AR$31:$AW$34,2,FALSE)</f>
        <v>Frankrike</v>
      </c>
      <c r="M31" s="14">
        <f>VLOOKUP(L31,$AS$31:$AW$34,2,FALSE)</f>
        <v>0</v>
      </c>
      <c r="N31" s="14">
        <f>VLOOKUP(L31,$AS$31:$AW$34,3,FALSE)</f>
        <v>0</v>
      </c>
      <c r="O31" s="14">
        <f>VLOOKUP(L31,$AS$31:$AW$34,4,FALSE)</f>
        <v>0</v>
      </c>
      <c r="P31" s="15">
        <f>VLOOKUP(L31,$AS$31:$AW$34,5,FALSE)</f>
        <v>0</v>
      </c>
      <c r="R31" s="5"/>
      <c r="S31" s="5"/>
      <c r="T31" s="5"/>
      <c r="U31" s="5"/>
      <c r="V31" s="5"/>
      <c r="X31" s="88" t="str">
        <f>D31</f>
        <v>Frankrike</v>
      </c>
      <c r="Y31" s="89">
        <f t="shared" ref="Y31:Y36" si="51">IF(G31="",0,IF($G31&lt;$I31,0,IF($G31=$I31,1,3)))</f>
        <v>0</v>
      </c>
      <c r="Z31" s="89">
        <f t="shared" ref="Z31:Z36" si="52">G31</f>
        <v>0</v>
      </c>
      <c r="AA31" s="89">
        <f t="shared" ref="AA31:AA36" si="53">I31</f>
        <v>0</v>
      </c>
      <c r="AB31" s="88" t="str">
        <f>F31</f>
        <v>Australien</v>
      </c>
      <c r="AC31" s="89">
        <f t="shared" ref="AC31:AC36" si="54">IF(I31="",0,IF(I31&lt;G31,0,IF(I31=G31,1,3)))</f>
        <v>0</v>
      </c>
      <c r="AD31" s="73">
        <f t="shared" ref="AD31:AD36" si="55">I31</f>
        <v>0</v>
      </c>
      <c r="AE31" s="73">
        <f t="shared" ref="AE31:AE36" si="56">G31</f>
        <v>0</v>
      </c>
      <c r="AG31" s="72">
        <f>RANK($AH31,$AH$31:$AH$34,1)+COUNTIF($AH$31:$AH31,$AH31)-1</f>
        <v>1</v>
      </c>
      <c r="AH31" s="72">
        <f>AI31+AJ31+AK31</f>
        <v>1</v>
      </c>
      <c r="AI31" s="72">
        <f>SUMPRODUCT(($AM$31:$AM$34=AM31)*($AP$31:$AP$34=AP31)*($AN$31:$AN$34&gt;AN31))</f>
        <v>0</v>
      </c>
      <c r="AJ31" s="72">
        <f>SUMPRODUCT(($AM$31:$AM$34=AM31)*($AP$31:$AP$34&gt;AP31))</f>
        <v>0</v>
      </c>
      <c r="AK31" s="72">
        <f>RANK(AM31,$AM$31:$AM$34)</f>
        <v>1</v>
      </c>
      <c r="AL31" s="88" t="s">
        <v>58</v>
      </c>
      <c r="AM31" s="72">
        <f>SUMIF($X$31:$X$36,$AL31,$Y$31:$Y$36)+SUMIF($AB$31:$AB$36,$AL31,$AC$31:$AC$36)</f>
        <v>0</v>
      </c>
      <c r="AN31" s="72">
        <f>SUMIF($X$31:$X$36,$AL31,$Z$31:$Z$36)+SUMIF($AB$31:$AB$36,$AL31,$AD$31:$AD$36)</f>
        <v>0</v>
      </c>
      <c r="AO31" s="72">
        <f>SUMIF($X$31:$X$36,$AL31,$AA$31:$AA$36)+SUMIF($AB$31:$AB$36,$AL31,$AE$31:$AE$36)</f>
        <v>0</v>
      </c>
      <c r="AP31" s="72">
        <f>AN31-AO31</f>
        <v>0</v>
      </c>
      <c r="AR31" s="72">
        <v>1</v>
      </c>
      <c r="AS31" s="72" t="str">
        <f>VLOOKUP($AR31,$AG$31:$AP$34,6,FALSE)</f>
        <v>Frankrike</v>
      </c>
      <c r="AT31" s="72">
        <f>VLOOKUP($AS31,$AL$31:$AP$34,2,FALSE)</f>
        <v>0</v>
      </c>
      <c r="AU31" s="72">
        <f>VLOOKUP($AS31,$AL$31:$AP$34,3,FALSE)</f>
        <v>0</v>
      </c>
      <c r="AV31" s="72">
        <f>VLOOKUP($AS31,$AL$31:$AP$34,4,FALSE)</f>
        <v>0</v>
      </c>
      <c r="AW31" s="72">
        <f>VLOOKUP($AS31,$AL$31:$AP$34,5,FALSE)</f>
        <v>0</v>
      </c>
      <c r="AX31" s="177"/>
      <c r="AY31" s="182"/>
      <c r="AZ31" s="177"/>
      <c r="BA31" s="181"/>
      <c r="BB31" s="177"/>
      <c r="BC31" s="181"/>
      <c r="BD31" s="181"/>
      <c r="BE31" s="181"/>
      <c r="BF31" s="181"/>
      <c r="BG31" s="178"/>
      <c r="BH31" s="94"/>
      <c r="BI31" s="74"/>
      <c r="BJ31" s="49"/>
      <c r="BK31" s="49"/>
      <c r="BL31" s="49"/>
      <c r="BM31" s="49"/>
      <c r="BO31" s="87">
        <v>28</v>
      </c>
      <c r="BP31" s="16"/>
      <c r="BQ31" s="157"/>
      <c r="BR31" s="162"/>
    </row>
    <row r="32" spans="2:70" ht="14.25" customHeight="1" x14ac:dyDescent="0.25">
      <c r="B32" s="16">
        <v>6</v>
      </c>
      <c r="C32" s="95">
        <v>44887</v>
      </c>
      <c r="D32" s="84" t="s">
        <v>147</v>
      </c>
      <c r="E32" s="85" t="s">
        <v>6</v>
      </c>
      <c r="F32" s="86" t="s">
        <v>149</v>
      </c>
      <c r="G32" s="62"/>
      <c r="H32" s="87" t="s">
        <v>6</v>
      </c>
      <c r="I32" s="62"/>
      <c r="J32" s="64" t="str">
        <f t="shared" ref="J32:J36" si="57">IF(OR(ISBLANK(G32),ISBLANK(I32)),"",IF(G32&gt;I32,1,IF(G32&lt;I32,2,"X")))</f>
        <v/>
      </c>
      <c r="K32" s="2">
        <v>2</v>
      </c>
      <c r="L32" s="17" t="str">
        <f>VLOOKUP(K32,$AR$31:$AW$34,2,FALSE)</f>
        <v>Danmark</v>
      </c>
      <c r="M32" s="18">
        <f>VLOOKUP(L32,$AS$31:$AW$34,2,FALSE)</f>
        <v>0</v>
      </c>
      <c r="N32" s="18">
        <f>VLOOKUP(L32,$AS$31:$AW$34,3,FALSE)</f>
        <v>0</v>
      </c>
      <c r="O32" s="18">
        <f>VLOOKUP(L32,$AS$31:$AW$34,4,FALSE)</f>
        <v>0</v>
      </c>
      <c r="P32" s="19">
        <f>VLOOKUP(L32,$AS$31:$AW$34,5,FALSE)</f>
        <v>0</v>
      </c>
      <c r="R32" s="5"/>
      <c r="S32" s="5"/>
      <c r="T32" s="5"/>
      <c r="U32" s="5"/>
      <c r="V32" s="5"/>
      <c r="X32" s="88" t="str">
        <f t="shared" ref="X32:X36" si="58">D32</f>
        <v>Danmark</v>
      </c>
      <c r="Y32" s="89">
        <f t="shared" si="51"/>
        <v>0</v>
      </c>
      <c r="Z32" s="89">
        <f t="shared" si="52"/>
        <v>0</v>
      </c>
      <c r="AA32" s="89">
        <f t="shared" si="53"/>
        <v>0</v>
      </c>
      <c r="AB32" s="88" t="str">
        <f t="shared" ref="AB32:AB36" si="59">F32</f>
        <v>Tunisien</v>
      </c>
      <c r="AC32" s="89">
        <f t="shared" si="54"/>
        <v>0</v>
      </c>
      <c r="AD32" s="73">
        <f t="shared" si="55"/>
        <v>0</v>
      </c>
      <c r="AE32" s="73">
        <f t="shared" si="56"/>
        <v>0</v>
      </c>
      <c r="AG32" s="72">
        <f>RANK($AH32,$AH$31:$AH$34,1)+COUNTIF($AH$31:$AH32,$AH32)-1</f>
        <v>2</v>
      </c>
      <c r="AH32" s="72">
        <f>AI32+AJ32+AK32</f>
        <v>1</v>
      </c>
      <c r="AI32" s="72">
        <f t="shared" ref="AI32:AI34" si="60">SUMPRODUCT(($AM$31:$AM$34=AM32)*($AP$31:$AP$34=AP32)*($AN$31:$AN$34&gt;AN32))</f>
        <v>0</v>
      </c>
      <c r="AJ32" s="72">
        <f t="shared" ref="AJ32:AJ34" si="61">SUMPRODUCT(($AM$31:$AM$34=AM32)*($AP$31:$AP$34&gt;AP32))</f>
        <v>0</v>
      </c>
      <c r="AK32" s="72">
        <f t="shared" ref="AK32:AK34" si="62">RANK(AM32,$AM$31:$AM$34)</f>
        <v>1</v>
      </c>
      <c r="AL32" s="88" t="s">
        <v>147</v>
      </c>
      <c r="AM32" s="72">
        <f t="shared" ref="AM32:AM34" si="63">SUMIF($X$31:$X$36,$AL32,$Y$31:$Y$36)+SUMIF($AB$31:$AB$36,$AL32,$AC$31:$AC$36)</f>
        <v>0</v>
      </c>
      <c r="AN32" s="72">
        <f t="shared" ref="AN32:AN34" si="64">SUMIF($X$31:$X$36,$AL32,$Z$31:$Z$36)+SUMIF($AB$31:$AB$36,$AL32,$AD$31:$AD$36)</f>
        <v>0</v>
      </c>
      <c r="AO32" s="72">
        <f t="shared" ref="AO32:AO34" si="65">SUMIF($X$31:$X$36,$AL32,$AA$31:$AA$36)+SUMIF($AB$31:$AB$36,$AL32,$AE$31:$AE$36)</f>
        <v>0</v>
      </c>
      <c r="AP32" s="72">
        <f t="shared" ref="AP32:AP34" si="66">AN32-AO32</f>
        <v>0</v>
      </c>
      <c r="AR32" s="72">
        <v>2</v>
      </c>
      <c r="AS32" s="72" t="str">
        <f t="shared" ref="AS32:AS34" si="67">VLOOKUP($AR32,$AG$31:$AP$34,6,FALSE)</f>
        <v>Danmark</v>
      </c>
      <c r="AT32" s="72">
        <f t="shared" ref="AT32:AT34" si="68">VLOOKUP($AS32,$AL$31:$AP$34,2,FALSE)</f>
        <v>0</v>
      </c>
      <c r="AU32" s="72">
        <f t="shared" ref="AU32:AU34" si="69">VLOOKUP($AS32,$AL$31:$AP$34,3,FALSE)</f>
        <v>0</v>
      </c>
      <c r="AV32" s="72">
        <f t="shared" ref="AV32:AV34" si="70">VLOOKUP($AS32,$AL$31:$AP$34,4,FALSE)</f>
        <v>0</v>
      </c>
      <c r="AW32" s="72">
        <f t="shared" ref="AW32:AW34" si="71">VLOOKUP($AS32,$AL$31:$AP$34,5,FALSE)</f>
        <v>0</v>
      </c>
      <c r="AX32" s="177"/>
      <c r="AY32" s="182"/>
      <c r="AZ32" s="177"/>
      <c r="BA32" s="181"/>
      <c r="BB32" s="177"/>
      <c r="BC32" s="181"/>
      <c r="BD32" s="181"/>
      <c r="BE32" s="181"/>
      <c r="BF32" s="181"/>
      <c r="BG32" s="178"/>
      <c r="BI32" s="74"/>
      <c r="BJ32" s="49"/>
      <c r="BK32" s="49"/>
      <c r="BL32" s="49"/>
      <c r="BM32" s="49"/>
      <c r="BO32" s="87">
        <v>29</v>
      </c>
      <c r="BP32" s="16"/>
      <c r="BQ32" s="157"/>
      <c r="BR32" s="162"/>
    </row>
    <row r="33" spans="2:70" ht="14.25" customHeight="1" x14ac:dyDescent="0.25">
      <c r="B33" s="16">
        <v>21</v>
      </c>
      <c r="C33" s="95">
        <v>44891</v>
      </c>
      <c r="D33" s="84" t="s">
        <v>149</v>
      </c>
      <c r="E33" s="85" t="s">
        <v>6</v>
      </c>
      <c r="F33" s="86" t="s">
        <v>29</v>
      </c>
      <c r="G33" s="62"/>
      <c r="H33" s="87" t="s">
        <v>6</v>
      </c>
      <c r="I33" s="62"/>
      <c r="J33" s="64" t="str">
        <f t="shared" si="57"/>
        <v/>
      </c>
      <c r="K33" s="2">
        <v>3</v>
      </c>
      <c r="L33" s="137" t="str">
        <f>VLOOKUP(K33,$AR$31:$AW$34,2,FALSE)</f>
        <v>Tunisien</v>
      </c>
      <c r="M33" s="32">
        <f>VLOOKUP(L33,$AS$31:$AW$34,2,FALSE)</f>
        <v>0</v>
      </c>
      <c r="N33" s="32">
        <f>VLOOKUP(L33,$AS$31:$AW$34,3,FALSE)</f>
        <v>0</v>
      </c>
      <c r="O33" s="32">
        <f>VLOOKUP(L33,$AS$31:$AW$34,4,FALSE)</f>
        <v>0</v>
      </c>
      <c r="P33" s="33">
        <f>VLOOKUP(L33,$AS$31:$AW$34,5,FALSE)</f>
        <v>0</v>
      </c>
      <c r="R33" s="5"/>
      <c r="S33" s="5"/>
      <c r="T33" s="5"/>
      <c r="U33" s="5"/>
      <c r="V33" s="5"/>
      <c r="X33" s="88" t="str">
        <f t="shared" si="58"/>
        <v>Tunisien</v>
      </c>
      <c r="Y33" s="89">
        <f t="shared" si="51"/>
        <v>0</v>
      </c>
      <c r="Z33" s="89">
        <f t="shared" si="52"/>
        <v>0</v>
      </c>
      <c r="AA33" s="89">
        <f t="shared" si="53"/>
        <v>0</v>
      </c>
      <c r="AB33" s="88" t="str">
        <f t="shared" si="59"/>
        <v>Australien</v>
      </c>
      <c r="AC33" s="89">
        <f t="shared" si="54"/>
        <v>0</v>
      </c>
      <c r="AD33" s="73">
        <f t="shared" si="55"/>
        <v>0</v>
      </c>
      <c r="AE33" s="73">
        <f t="shared" si="56"/>
        <v>0</v>
      </c>
      <c r="AG33" s="72">
        <f>RANK($AH33,$AH$31:$AH$34,1)+COUNTIF($AH$31:$AH33,$AH33)-1</f>
        <v>3</v>
      </c>
      <c r="AH33" s="72">
        <f>AI33+AJ33+AK33</f>
        <v>1</v>
      </c>
      <c r="AI33" s="72">
        <f t="shared" si="60"/>
        <v>0</v>
      </c>
      <c r="AJ33" s="72">
        <f t="shared" si="61"/>
        <v>0</v>
      </c>
      <c r="AK33" s="72">
        <f t="shared" si="62"/>
        <v>1</v>
      </c>
      <c r="AL33" s="88" t="s">
        <v>149</v>
      </c>
      <c r="AM33" s="72">
        <f t="shared" si="63"/>
        <v>0</v>
      </c>
      <c r="AN33" s="72">
        <f t="shared" si="64"/>
        <v>0</v>
      </c>
      <c r="AO33" s="72">
        <f t="shared" si="65"/>
        <v>0</v>
      </c>
      <c r="AP33" s="72">
        <f t="shared" si="66"/>
        <v>0</v>
      </c>
      <c r="AR33" s="72">
        <v>3</v>
      </c>
      <c r="AS33" s="72" t="str">
        <f t="shared" si="67"/>
        <v>Tunisien</v>
      </c>
      <c r="AT33" s="72">
        <f t="shared" si="68"/>
        <v>0</v>
      </c>
      <c r="AU33" s="72">
        <f t="shared" si="69"/>
        <v>0</v>
      </c>
      <c r="AV33" s="72">
        <f t="shared" si="70"/>
        <v>0</v>
      </c>
      <c r="AW33" s="72">
        <f t="shared" si="71"/>
        <v>0</v>
      </c>
      <c r="AX33" s="177"/>
      <c r="AY33" s="182"/>
      <c r="AZ33" s="177"/>
      <c r="BA33" s="181"/>
      <c r="BB33" s="177"/>
      <c r="BC33" s="181"/>
      <c r="BD33" s="181"/>
      <c r="BE33" s="181"/>
      <c r="BF33" s="181"/>
      <c r="BG33" s="178"/>
      <c r="BI33" s="45"/>
      <c r="BJ33" s="49"/>
      <c r="BK33" s="49"/>
      <c r="BL33" s="49"/>
      <c r="BM33" s="49"/>
      <c r="BO33" s="87">
        <v>30</v>
      </c>
      <c r="BP33" s="16"/>
      <c r="BQ33" s="157"/>
      <c r="BR33" s="162"/>
    </row>
    <row r="34" spans="2:70" ht="14.25" customHeight="1" x14ac:dyDescent="0.25">
      <c r="B34" s="16">
        <v>23</v>
      </c>
      <c r="C34" s="95">
        <v>44891</v>
      </c>
      <c r="D34" s="84" t="s">
        <v>58</v>
      </c>
      <c r="E34" s="85" t="s">
        <v>6</v>
      </c>
      <c r="F34" s="86" t="s">
        <v>147</v>
      </c>
      <c r="G34" s="62"/>
      <c r="H34" s="87" t="s">
        <v>6</v>
      </c>
      <c r="I34" s="62"/>
      <c r="J34" s="64" t="str">
        <f t="shared" si="57"/>
        <v/>
      </c>
      <c r="K34" s="2">
        <v>4</v>
      </c>
      <c r="L34" s="21" t="str">
        <f>VLOOKUP(K34,$AR$31:$AW$34,2,FALSE)</f>
        <v>Australien</v>
      </c>
      <c r="M34" s="18">
        <f>VLOOKUP(L34,$AS$31:$AW$34,2,FALSE)</f>
        <v>0</v>
      </c>
      <c r="N34" s="18">
        <f>VLOOKUP(L34,$AS$31:$AW$34,3,FALSE)</f>
        <v>0</v>
      </c>
      <c r="O34" s="18">
        <f>VLOOKUP(L34,$AS$31:$AW$34,4,FALSE)</f>
        <v>0</v>
      </c>
      <c r="P34" s="19">
        <f>VLOOKUP(L34,$AS$31:$AW$34,5,FALSE)</f>
        <v>0</v>
      </c>
      <c r="R34" s="5"/>
      <c r="S34" s="5"/>
      <c r="T34" s="5"/>
      <c r="U34" s="5"/>
      <c r="V34" s="5"/>
      <c r="X34" s="88" t="str">
        <f t="shared" si="58"/>
        <v>Frankrike</v>
      </c>
      <c r="Y34" s="89">
        <f t="shared" si="51"/>
        <v>0</v>
      </c>
      <c r="Z34" s="89">
        <f t="shared" si="52"/>
        <v>0</v>
      </c>
      <c r="AA34" s="89">
        <f t="shared" si="53"/>
        <v>0</v>
      </c>
      <c r="AB34" s="88" t="str">
        <f t="shared" si="59"/>
        <v>Danmark</v>
      </c>
      <c r="AC34" s="89">
        <f t="shared" si="54"/>
        <v>0</v>
      </c>
      <c r="AD34" s="73">
        <f t="shared" si="55"/>
        <v>0</v>
      </c>
      <c r="AE34" s="73">
        <f t="shared" si="56"/>
        <v>0</v>
      </c>
      <c r="AG34" s="72">
        <f>RANK($AH34,$AH$31:$AH$34,1)+COUNTIF($AH$31:$AH34,$AH34)-1</f>
        <v>4</v>
      </c>
      <c r="AH34" s="72">
        <f>AI34+AJ34+AK34</f>
        <v>1</v>
      </c>
      <c r="AI34" s="72">
        <f t="shared" si="60"/>
        <v>0</v>
      </c>
      <c r="AJ34" s="72">
        <f t="shared" si="61"/>
        <v>0</v>
      </c>
      <c r="AK34" s="72">
        <f t="shared" si="62"/>
        <v>1</v>
      </c>
      <c r="AL34" s="88" t="s">
        <v>29</v>
      </c>
      <c r="AM34" s="72">
        <f t="shared" si="63"/>
        <v>0</v>
      </c>
      <c r="AN34" s="72">
        <f t="shared" si="64"/>
        <v>0</v>
      </c>
      <c r="AO34" s="72">
        <f t="shared" si="65"/>
        <v>0</v>
      </c>
      <c r="AP34" s="72">
        <f t="shared" si="66"/>
        <v>0</v>
      </c>
      <c r="AR34" s="72">
        <v>4</v>
      </c>
      <c r="AS34" s="72" t="str">
        <f t="shared" si="67"/>
        <v>Australien</v>
      </c>
      <c r="AT34" s="72">
        <f t="shared" si="68"/>
        <v>0</v>
      </c>
      <c r="AU34" s="72">
        <f t="shared" si="69"/>
        <v>0</v>
      </c>
      <c r="AV34" s="72">
        <f t="shared" si="70"/>
        <v>0</v>
      </c>
      <c r="AW34" s="72">
        <f t="shared" si="71"/>
        <v>0</v>
      </c>
      <c r="AX34" s="177"/>
      <c r="AY34" s="182"/>
      <c r="AZ34" s="177"/>
      <c r="BA34" s="181"/>
      <c r="BB34" s="177"/>
      <c r="BC34" s="181"/>
      <c r="BD34" s="181"/>
      <c r="BE34" s="181"/>
      <c r="BF34" s="181"/>
      <c r="BG34" s="178"/>
      <c r="BI34" s="45"/>
      <c r="BJ34" s="49"/>
      <c r="BK34" s="49"/>
      <c r="BL34" s="49"/>
      <c r="BM34" s="49"/>
      <c r="BO34" s="87">
        <v>31</v>
      </c>
      <c r="BP34" s="16"/>
      <c r="BQ34" s="157"/>
      <c r="BR34" s="162"/>
    </row>
    <row r="35" spans="2:70" ht="14.25" customHeight="1" x14ac:dyDescent="0.25">
      <c r="B35" s="16">
        <v>39</v>
      </c>
      <c r="C35" s="95">
        <v>44895</v>
      </c>
      <c r="D35" s="84" t="s">
        <v>29</v>
      </c>
      <c r="E35" s="85" t="s">
        <v>6</v>
      </c>
      <c r="F35" s="86" t="s">
        <v>147</v>
      </c>
      <c r="G35" s="62"/>
      <c r="H35" s="87" t="s">
        <v>6</v>
      </c>
      <c r="I35" s="62"/>
      <c r="J35" s="64" t="str">
        <f t="shared" si="57"/>
        <v/>
      </c>
      <c r="L35" s="187">
        <f>COUNTBLANK(G31:G36)+COUNTBLANK(I31:I36)</f>
        <v>12</v>
      </c>
      <c r="M35" s="23"/>
      <c r="N35" s="35"/>
      <c r="O35" s="23"/>
      <c r="P35" s="23"/>
      <c r="R35" s="5"/>
      <c r="S35" s="5"/>
      <c r="T35" s="5"/>
      <c r="U35" s="5"/>
      <c r="V35" s="5"/>
      <c r="X35" s="88" t="str">
        <f t="shared" si="58"/>
        <v>Australien</v>
      </c>
      <c r="Y35" s="89">
        <f t="shared" si="51"/>
        <v>0</v>
      </c>
      <c r="Z35" s="89">
        <f t="shared" si="52"/>
        <v>0</v>
      </c>
      <c r="AA35" s="89">
        <f t="shared" si="53"/>
        <v>0</v>
      </c>
      <c r="AB35" s="88" t="str">
        <f t="shared" si="59"/>
        <v>Danmark</v>
      </c>
      <c r="AC35" s="89">
        <f t="shared" si="54"/>
        <v>0</v>
      </c>
      <c r="AD35" s="73">
        <f t="shared" si="55"/>
        <v>0</v>
      </c>
      <c r="AE35" s="73">
        <f t="shared" si="56"/>
        <v>0</v>
      </c>
      <c r="AX35" s="177"/>
      <c r="AY35" s="182"/>
      <c r="AZ35" s="177"/>
      <c r="BA35" s="181"/>
      <c r="BB35" s="177"/>
      <c r="BC35" s="181"/>
      <c r="BD35" s="181"/>
      <c r="BE35" s="181"/>
      <c r="BF35" s="181"/>
      <c r="BG35" s="178"/>
      <c r="BJ35" s="49"/>
      <c r="BK35" s="46"/>
      <c r="BL35" s="49"/>
      <c r="BM35" s="49"/>
      <c r="BO35" s="87">
        <v>32</v>
      </c>
      <c r="BP35" s="16"/>
      <c r="BQ35" s="157"/>
      <c r="BR35" s="162"/>
    </row>
    <row r="36" spans="2:70" ht="14.25" customHeight="1" x14ac:dyDescent="0.25">
      <c r="B36" s="16">
        <v>40</v>
      </c>
      <c r="C36" s="95">
        <v>44895</v>
      </c>
      <c r="D36" s="84" t="s">
        <v>149</v>
      </c>
      <c r="E36" s="85" t="s">
        <v>6</v>
      </c>
      <c r="F36" s="86" t="s">
        <v>58</v>
      </c>
      <c r="G36" s="62"/>
      <c r="H36" s="87" t="s">
        <v>6</v>
      </c>
      <c r="I36" s="62"/>
      <c r="J36" s="64" t="str">
        <f t="shared" si="57"/>
        <v/>
      </c>
      <c r="M36" s="23"/>
      <c r="N36" s="35"/>
      <c r="O36" s="23"/>
      <c r="P36" s="23"/>
      <c r="R36" s="5"/>
      <c r="S36" s="5"/>
      <c r="T36" s="5"/>
      <c r="U36" s="5"/>
      <c r="V36" s="5"/>
      <c r="X36" s="88" t="str">
        <f t="shared" si="58"/>
        <v>Tunisien</v>
      </c>
      <c r="Y36" s="89">
        <f t="shared" si="51"/>
        <v>0</v>
      </c>
      <c r="Z36" s="89">
        <f t="shared" si="52"/>
        <v>0</v>
      </c>
      <c r="AA36" s="89">
        <f t="shared" si="53"/>
        <v>0</v>
      </c>
      <c r="AB36" s="88" t="str">
        <f t="shared" si="59"/>
        <v>Frankrike</v>
      </c>
      <c r="AC36" s="89">
        <f t="shared" si="54"/>
        <v>0</v>
      </c>
      <c r="AD36" s="73">
        <f t="shared" si="55"/>
        <v>0</v>
      </c>
      <c r="AE36" s="73">
        <f t="shared" si="56"/>
        <v>0</v>
      </c>
      <c r="AX36" s="177"/>
      <c r="AY36" s="182"/>
      <c r="AZ36" s="177"/>
      <c r="BA36" s="181"/>
      <c r="BB36" s="177"/>
      <c r="BC36" s="181"/>
      <c r="BD36" s="181"/>
      <c r="BE36" s="181"/>
      <c r="BF36" s="181"/>
      <c r="BG36" s="178"/>
      <c r="BJ36" s="49"/>
      <c r="BK36" s="46"/>
      <c r="BL36" s="49"/>
      <c r="BM36" s="49"/>
      <c r="BO36" s="87">
        <v>33</v>
      </c>
      <c r="BP36" s="16"/>
      <c r="BQ36" s="157"/>
      <c r="BR36" s="162"/>
    </row>
    <row r="37" spans="2:70" ht="14.25" customHeight="1" x14ac:dyDescent="0.25">
      <c r="C37" s="38"/>
      <c r="F37" s="23"/>
      <c r="J37" s="24"/>
      <c r="M37" s="23"/>
      <c r="N37" s="35"/>
      <c r="O37" s="23"/>
      <c r="P37" s="23"/>
      <c r="R37" s="5"/>
      <c r="S37" s="5"/>
      <c r="T37" s="5"/>
      <c r="U37" s="5"/>
      <c r="V37" s="5"/>
      <c r="AX37" s="177"/>
      <c r="AY37" s="182"/>
      <c r="AZ37" s="177"/>
      <c r="BA37" s="181"/>
      <c r="BB37" s="177"/>
      <c r="BC37" s="181"/>
      <c r="BD37" s="181"/>
      <c r="BE37" s="181"/>
      <c r="BF37" s="181"/>
      <c r="BG37" s="178"/>
      <c r="BJ37" s="49"/>
      <c r="BK37" s="46"/>
      <c r="BL37" s="49"/>
      <c r="BM37" s="49"/>
      <c r="BO37" s="87">
        <v>34</v>
      </c>
      <c r="BP37" s="16"/>
      <c r="BQ37" s="157"/>
      <c r="BR37" s="162"/>
    </row>
    <row r="38" spans="2:70" s="26" customFormat="1" ht="14.25" customHeight="1" x14ac:dyDescent="0.25">
      <c r="B38" s="6" t="s">
        <v>55</v>
      </c>
      <c r="C38" s="104"/>
      <c r="D38" s="117"/>
      <c r="E38" s="27"/>
      <c r="F38" s="117"/>
      <c r="G38" s="27"/>
      <c r="H38" s="27"/>
      <c r="I38" s="27"/>
      <c r="J38" s="24"/>
      <c r="K38" s="25"/>
      <c r="M38" s="27"/>
      <c r="N38" s="36"/>
      <c r="O38" s="27"/>
      <c r="P38" s="27"/>
      <c r="R38" s="27"/>
      <c r="S38" s="27"/>
      <c r="T38" s="27"/>
      <c r="U38" s="27"/>
      <c r="V38" s="122"/>
      <c r="X38" s="70"/>
      <c r="Y38" s="89"/>
      <c r="Z38" s="89"/>
      <c r="AA38" s="89"/>
      <c r="AB38" s="70"/>
      <c r="AC38" s="107"/>
      <c r="AD38" s="108"/>
      <c r="AE38" s="108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75"/>
      <c r="AY38" s="183"/>
      <c r="AZ38" s="175"/>
      <c r="BA38" s="179"/>
      <c r="BB38" s="175"/>
      <c r="BC38" s="179"/>
      <c r="BD38" s="179"/>
      <c r="BE38" s="179"/>
      <c r="BF38" s="179"/>
      <c r="BG38" s="179"/>
      <c r="BH38" s="110"/>
      <c r="BI38" s="1"/>
      <c r="BJ38" s="24"/>
      <c r="BK38" s="123"/>
      <c r="BL38" s="24"/>
      <c r="BM38" s="24"/>
      <c r="BO38" s="87">
        <v>35</v>
      </c>
      <c r="BP38" s="16"/>
      <c r="BQ38" s="157"/>
      <c r="BR38" s="162"/>
    </row>
    <row r="39" spans="2:70" s="26" customFormat="1" ht="14.25" customHeight="1" x14ac:dyDescent="0.25">
      <c r="B39" s="119" t="s">
        <v>2</v>
      </c>
      <c r="C39" s="112" t="s">
        <v>3</v>
      </c>
      <c r="D39" s="207" t="s">
        <v>2</v>
      </c>
      <c r="E39" s="208"/>
      <c r="F39" s="209"/>
      <c r="G39" s="208" t="s">
        <v>4</v>
      </c>
      <c r="H39" s="208"/>
      <c r="I39" s="208"/>
      <c r="J39" s="28" t="s">
        <v>69</v>
      </c>
      <c r="K39" s="25"/>
      <c r="L39" s="8" t="s">
        <v>55</v>
      </c>
      <c r="M39" s="9" t="s">
        <v>75</v>
      </c>
      <c r="N39" s="9" t="s">
        <v>76</v>
      </c>
      <c r="O39" s="9" t="s">
        <v>77</v>
      </c>
      <c r="P39" s="10" t="s">
        <v>87</v>
      </c>
      <c r="R39" s="27"/>
      <c r="S39" s="27"/>
      <c r="T39" s="27"/>
      <c r="U39" s="27"/>
      <c r="V39" s="122"/>
      <c r="X39" s="81" t="s">
        <v>73</v>
      </c>
      <c r="Y39" s="81" t="s">
        <v>75</v>
      </c>
      <c r="Z39" s="81" t="s">
        <v>76</v>
      </c>
      <c r="AA39" s="81" t="s">
        <v>77</v>
      </c>
      <c r="AB39" s="81" t="s">
        <v>74</v>
      </c>
      <c r="AC39" s="81" t="s">
        <v>75</v>
      </c>
      <c r="AD39" s="81" t="s">
        <v>76</v>
      </c>
      <c r="AE39" s="81" t="s">
        <v>77</v>
      </c>
      <c r="AF39" s="107"/>
      <c r="AG39" s="82" t="s">
        <v>85</v>
      </c>
      <c r="AH39" s="82" t="s">
        <v>84</v>
      </c>
      <c r="AI39" s="82" t="s">
        <v>83</v>
      </c>
      <c r="AJ39" s="81" t="s">
        <v>82</v>
      </c>
      <c r="AK39" s="81" t="s">
        <v>81</v>
      </c>
      <c r="AL39" s="81" t="s">
        <v>78</v>
      </c>
      <c r="AM39" s="81" t="s">
        <v>75</v>
      </c>
      <c r="AN39" s="81" t="s">
        <v>76</v>
      </c>
      <c r="AO39" s="81" t="s">
        <v>77</v>
      </c>
      <c r="AP39" s="82" t="s">
        <v>79</v>
      </c>
      <c r="AQ39" s="107"/>
      <c r="AR39" s="81" t="s">
        <v>80</v>
      </c>
      <c r="AS39" s="81" t="s">
        <v>78</v>
      </c>
      <c r="AT39" s="81" t="s">
        <v>75</v>
      </c>
      <c r="AU39" s="81" t="s">
        <v>76</v>
      </c>
      <c r="AV39" s="81" t="s">
        <v>77</v>
      </c>
      <c r="AW39" s="82" t="s">
        <v>79</v>
      </c>
      <c r="AX39" s="175"/>
      <c r="AY39" s="175"/>
      <c r="AZ39" s="179"/>
      <c r="BA39" s="179"/>
      <c r="BB39" s="179"/>
      <c r="BC39" s="206"/>
      <c r="BD39" s="206"/>
      <c r="BE39" s="206"/>
      <c r="BF39" s="179"/>
      <c r="BG39" s="179"/>
      <c r="BH39" s="110"/>
      <c r="BI39" s="114"/>
      <c r="BJ39" s="24"/>
      <c r="BK39" s="24"/>
      <c r="BL39" s="24"/>
      <c r="BM39" s="24"/>
      <c r="BO39" s="87">
        <v>36</v>
      </c>
      <c r="BP39" s="16"/>
      <c r="BQ39" s="157"/>
      <c r="BR39" s="162"/>
    </row>
    <row r="40" spans="2:70" ht="14.25" customHeight="1" x14ac:dyDescent="0.25">
      <c r="B40" s="16">
        <v>10</v>
      </c>
      <c r="C40" s="95">
        <v>44888</v>
      </c>
      <c r="D40" s="84" t="s">
        <v>27</v>
      </c>
      <c r="E40" s="85" t="s">
        <v>6</v>
      </c>
      <c r="F40" s="86" t="s">
        <v>51</v>
      </c>
      <c r="G40" s="62"/>
      <c r="H40" s="87" t="s">
        <v>6</v>
      </c>
      <c r="I40" s="62"/>
      <c r="J40" s="64" t="str">
        <f>IF(OR(ISBLANK(G40),ISBLANK(I40)),"",IF(G40&gt;I40,1,IF(G40&lt;I40,2,"X")))</f>
        <v/>
      </c>
      <c r="K40" s="12">
        <v>1</v>
      </c>
      <c r="L40" s="13" t="str">
        <f>VLOOKUP(K40,$AR$40:$AW$43,2,FALSE)</f>
        <v>Spanien</v>
      </c>
      <c r="M40" s="14">
        <f>VLOOKUP(L40,$AS$40:$AW$43,2,FALSE)</f>
        <v>0</v>
      </c>
      <c r="N40" s="14">
        <f>VLOOKUP(L40,$AS$40:$AW$43,3,FALSE)</f>
        <v>0</v>
      </c>
      <c r="O40" s="14">
        <f>VLOOKUP(L40,$AS$40:$AW$43,4,FALSE)</f>
        <v>0</v>
      </c>
      <c r="P40" s="15">
        <f>VLOOKUP(L40,$AS$40:$AW$43,5,FALSE)</f>
        <v>0</v>
      </c>
      <c r="X40" s="88" t="str">
        <f>D40</f>
        <v>Spanien</v>
      </c>
      <c r="Y40" s="89">
        <f t="shared" ref="Y40:Y45" si="72">IF(G40="",0,IF($G40&lt;$I40,0,IF($G40=$I40,1,3)))</f>
        <v>0</v>
      </c>
      <c r="Z40" s="89">
        <f t="shared" ref="Z40:Z45" si="73">G40</f>
        <v>0</v>
      </c>
      <c r="AA40" s="89">
        <f t="shared" ref="AA40:AA45" si="74">I40</f>
        <v>0</v>
      </c>
      <c r="AB40" s="88" t="str">
        <f>F40</f>
        <v>Costa Rica</v>
      </c>
      <c r="AC40" s="89">
        <f t="shared" ref="AC40:AC45" si="75">IF(I40="",0,IF(I40&lt;G40,0,IF(I40=G40,1,3)))</f>
        <v>0</v>
      </c>
      <c r="AD40" s="73">
        <f t="shared" ref="AD40:AD45" si="76">I40</f>
        <v>0</v>
      </c>
      <c r="AE40" s="73">
        <f t="shared" ref="AE40:AE45" si="77">G40</f>
        <v>0</v>
      </c>
      <c r="AG40" s="72">
        <f>RANK($AH40,$AH$40:$AH$43,1)+COUNTIF($AH$40:$AH40,$AH40)-1</f>
        <v>1</v>
      </c>
      <c r="AH40" s="72">
        <f>AI40+AJ40+AK40</f>
        <v>1</v>
      </c>
      <c r="AI40" s="72">
        <f>SUMPRODUCT(($AM$40:$AM$43=AM40)*($AP$40:$AP$43=AP40)*($AN$40:$AN$43&gt;AN40))</f>
        <v>0</v>
      </c>
      <c r="AJ40" s="72">
        <f>SUMPRODUCT(($AM$40:$AM$43=AM40)*($AP$40:$AP$43&gt;AP40))</f>
        <v>0</v>
      </c>
      <c r="AK40" s="72">
        <f>RANK(AM40,$AM$40:$AM$43)</f>
        <v>1</v>
      </c>
      <c r="AL40" s="88" t="s">
        <v>27</v>
      </c>
      <c r="AM40" s="72">
        <f>SUMIF($X$40:$X$45,$AL40,$Y$40:$Y$45)+SUMIF($AB$40:$AB$45,$AL40,$AC$40:$AC$45)</f>
        <v>0</v>
      </c>
      <c r="AN40" s="72">
        <f>SUMIF($X$40:$X$45,$AL40,$Z$40:$Z$45)+SUMIF($AB$40:$AB$45,$AL40,$AD$40:$AD$45)</f>
        <v>0</v>
      </c>
      <c r="AO40" s="72">
        <f>SUMIF($X$40:$X$45,$AL40,$AA$40:$AA$45)+SUMIF($AB$40:$AB$45,$AL40,$AE$40:$AE$45)</f>
        <v>0</v>
      </c>
      <c r="AP40" s="72">
        <f>AN40-AO40</f>
        <v>0</v>
      </c>
      <c r="AR40" s="72">
        <v>1</v>
      </c>
      <c r="AS40" s="72" t="str">
        <f>VLOOKUP($AR40,$AG$40:$AP$43,6,FALSE)</f>
        <v>Spanien</v>
      </c>
      <c r="AT40" s="72">
        <f>VLOOKUP($AS40,$AL$40:$AP$43,2,FALSE)</f>
        <v>0</v>
      </c>
      <c r="AU40" s="72">
        <f>VLOOKUP($AS40,$AL$40:$AP$43,3,FALSE)</f>
        <v>0</v>
      </c>
      <c r="AV40" s="72">
        <f>VLOOKUP($AS40,$AL$40:$AP$43,4,FALSE)</f>
        <v>0</v>
      </c>
      <c r="AW40" s="72">
        <f>VLOOKUP($AS40,$AL$40:$AP$43,5,FALSE)</f>
        <v>0</v>
      </c>
      <c r="AX40" s="177"/>
      <c r="AY40" s="182"/>
      <c r="AZ40" s="177"/>
      <c r="BA40" s="181"/>
      <c r="BB40" s="177"/>
      <c r="BC40" s="181"/>
      <c r="BD40" s="181"/>
      <c r="BE40" s="181"/>
      <c r="BF40" s="181"/>
      <c r="BG40" s="178"/>
      <c r="BH40" s="94"/>
      <c r="BI40" s="74"/>
      <c r="BJ40" s="49"/>
      <c r="BK40" s="49"/>
      <c r="BL40" s="49"/>
      <c r="BM40" s="49"/>
      <c r="BO40" s="87">
        <v>37</v>
      </c>
      <c r="BP40" s="16"/>
      <c r="BQ40" s="157"/>
      <c r="BR40" s="162"/>
    </row>
    <row r="41" spans="2:70" ht="14.25" customHeight="1" x14ac:dyDescent="0.25">
      <c r="B41" s="16">
        <v>11</v>
      </c>
      <c r="C41" s="95">
        <v>44888</v>
      </c>
      <c r="D41" s="84" t="s">
        <v>63</v>
      </c>
      <c r="E41" s="85" t="s">
        <v>6</v>
      </c>
      <c r="F41" s="86" t="s">
        <v>42</v>
      </c>
      <c r="G41" s="62"/>
      <c r="H41" s="87" t="s">
        <v>6</v>
      </c>
      <c r="I41" s="62"/>
      <c r="J41" s="64" t="str">
        <f t="shared" ref="J41:J45" si="78">IF(OR(ISBLANK(G41),ISBLANK(I41)),"",IF(G41&gt;I41,1,IF(G41&lt;I41,2,"X")))</f>
        <v/>
      </c>
      <c r="K41" s="2">
        <v>2</v>
      </c>
      <c r="L41" s="17" t="str">
        <f>VLOOKUP(K41,$AR$40:$AW$43,2,FALSE)</f>
        <v>Tyskland</v>
      </c>
      <c r="M41" s="18">
        <f>VLOOKUP(L41,$AS$40:$AW$43,2,FALSE)</f>
        <v>0</v>
      </c>
      <c r="N41" s="18">
        <f>VLOOKUP(L41,$AS$40:$AW$43,3,FALSE)</f>
        <v>0</v>
      </c>
      <c r="O41" s="18">
        <f>VLOOKUP(L41,$AS$40:$AW$43,4,FALSE)</f>
        <v>0</v>
      </c>
      <c r="P41" s="19">
        <f>VLOOKUP(L41,$AS$40:$AW$43,5,FALSE)</f>
        <v>0</v>
      </c>
      <c r="X41" s="88" t="str">
        <f t="shared" ref="X41:X45" si="79">D41</f>
        <v>Tyskland</v>
      </c>
      <c r="Y41" s="89">
        <f t="shared" si="72"/>
        <v>0</v>
      </c>
      <c r="Z41" s="89">
        <f t="shared" si="73"/>
        <v>0</v>
      </c>
      <c r="AA41" s="89">
        <f t="shared" si="74"/>
        <v>0</v>
      </c>
      <c r="AB41" s="88" t="str">
        <f t="shared" ref="AB41:AB45" si="80">F41</f>
        <v>Japan</v>
      </c>
      <c r="AC41" s="89">
        <f t="shared" si="75"/>
        <v>0</v>
      </c>
      <c r="AD41" s="73">
        <f t="shared" si="76"/>
        <v>0</v>
      </c>
      <c r="AE41" s="73">
        <f t="shared" si="77"/>
        <v>0</v>
      </c>
      <c r="AG41" s="72">
        <f>RANK($AH41,$AH$40:$AH$43,1)+COUNTIF($AH$40:$AH41,$AH41)-1</f>
        <v>2</v>
      </c>
      <c r="AH41" s="72">
        <f>AI41+AJ41+AK41</f>
        <v>1</v>
      </c>
      <c r="AI41" s="72">
        <f t="shared" ref="AI41:AI43" si="81">SUMPRODUCT(($AM$40:$AM$43=AM41)*($AP$40:$AP$43=AP41)*($AN$40:$AN$43&gt;AN41))</f>
        <v>0</v>
      </c>
      <c r="AJ41" s="72">
        <f t="shared" ref="AJ41:AJ43" si="82">SUMPRODUCT(($AM$40:$AM$43=AM41)*($AP$40:$AP$43&gt;AP41))</f>
        <v>0</v>
      </c>
      <c r="AK41" s="72">
        <f t="shared" ref="AK41:AK43" si="83">RANK(AM41,$AM$40:$AM$43)</f>
        <v>1</v>
      </c>
      <c r="AL41" s="88" t="s">
        <v>63</v>
      </c>
      <c r="AM41" s="72">
        <f t="shared" ref="AM41:AM43" si="84">SUMIF($X$40:$X$45,$AL41,$Y$40:$Y$45)+SUMIF($AB$40:$AB$45,$AL41,$AC$40:$AC$45)</f>
        <v>0</v>
      </c>
      <c r="AN41" s="72">
        <f t="shared" ref="AN41:AN43" si="85">SUMIF($X$40:$X$45,$AL41,$Z$40:$Z$45)+SUMIF($AB$40:$AB$45,$AL41,$AD$40:$AD$45)</f>
        <v>0</v>
      </c>
      <c r="AO41" s="72">
        <f t="shared" ref="AO41:AO43" si="86">SUMIF($X$40:$X$45,$AL41,$AA$40:$AA$45)+SUMIF($AB$40:$AB$45,$AL41,$AE$40:$AE$45)</f>
        <v>0</v>
      </c>
      <c r="AP41" s="72">
        <f t="shared" ref="AP41:AP43" si="87">AN41-AO41</f>
        <v>0</v>
      </c>
      <c r="AR41" s="72">
        <v>2</v>
      </c>
      <c r="AS41" s="72" t="str">
        <f t="shared" ref="AS41:AS43" si="88">VLOOKUP($AR41,$AG$40:$AP$43,6,FALSE)</f>
        <v>Tyskland</v>
      </c>
      <c r="AT41" s="72">
        <f t="shared" ref="AT41:AT43" si="89">VLOOKUP($AS41,$AL$40:$AP$43,2,FALSE)</f>
        <v>0</v>
      </c>
      <c r="AU41" s="72">
        <f t="shared" ref="AU41:AU43" si="90">VLOOKUP($AS41,$AL$40:$AP$43,3,FALSE)</f>
        <v>0</v>
      </c>
      <c r="AV41" s="72">
        <f t="shared" ref="AV41:AV43" si="91">VLOOKUP($AS41,$AL$40:$AP$43,4,FALSE)</f>
        <v>0</v>
      </c>
      <c r="AW41" s="72">
        <f t="shared" ref="AW41:AW43" si="92">VLOOKUP($AS41,$AL$40:$AP$43,5,FALSE)</f>
        <v>0</v>
      </c>
      <c r="AX41" s="177"/>
      <c r="AY41" s="182"/>
      <c r="AZ41" s="177"/>
      <c r="BA41" s="181"/>
      <c r="BB41" s="177"/>
      <c r="BC41" s="181"/>
      <c r="BD41" s="181"/>
      <c r="BE41" s="181"/>
      <c r="BF41" s="181"/>
      <c r="BG41" s="178"/>
      <c r="BI41" s="74"/>
      <c r="BJ41" s="49"/>
      <c r="BK41" s="49"/>
      <c r="BL41" s="49"/>
      <c r="BM41" s="49"/>
      <c r="BO41" s="87">
        <v>38</v>
      </c>
      <c r="BP41" s="16"/>
      <c r="BQ41" s="157"/>
      <c r="BR41" s="162"/>
    </row>
    <row r="42" spans="2:70" ht="14.25" customHeight="1" x14ac:dyDescent="0.25">
      <c r="B42" s="16">
        <v>25</v>
      </c>
      <c r="C42" s="95">
        <v>44892</v>
      </c>
      <c r="D42" s="84" t="s">
        <v>42</v>
      </c>
      <c r="E42" s="85" t="s">
        <v>6</v>
      </c>
      <c r="F42" s="86" t="s">
        <v>51</v>
      </c>
      <c r="G42" s="62"/>
      <c r="H42" s="87" t="s">
        <v>6</v>
      </c>
      <c r="I42" s="62"/>
      <c r="J42" s="64" t="str">
        <f t="shared" si="78"/>
        <v/>
      </c>
      <c r="K42" s="2">
        <v>3</v>
      </c>
      <c r="L42" s="137" t="str">
        <f>VLOOKUP(K42,$AR$40:$AW$43,2,FALSE)</f>
        <v>Japan</v>
      </c>
      <c r="M42" s="32">
        <f>VLOOKUP(L42,$AS$40:$AW$43,2,FALSE)</f>
        <v>0</v>
      </c>
      <c r="N42" s="32">
        <f>VLOOKUP(L42,$AS$40:$AW$43,3,FALSE)</f>
        <v>0</v>
      </c>
      <c r="O42" s="32">
        <f>VLOOKUP(L42,$AS$40:$AW$43,4,FALSE)</f>
        <v>0</v>
      </c>
      <c r="P42" s="33">
        <f>VLOOKUP(L42,$AS$40:$AW$43,5,FALSE)</f>
        <v>0</v>
      </c>
      <c r="X42" s="88" t="str">
        <f t="shared" si="79"/>
        <v>Japan</v>
      </c>
      <c r="Y42" s="89">
        <f t="shared" si="72"/>
        <v>0</v>
      </c>
      <c r="Z42" s="89">
        <f t="shared" si="73"/>
        <v>0</v>
      </c>
      <c r="AA42" s="89">
        <f t="shared" si="74"/>
        <v>0</v>
      </c>
      <c r="AB42" s="88" t="str">
        <f t="shared" si="80"/>
        <v>Costa Rica</v>
      </c>
      <c r="AC42" s="89">
        <f t="shared" si="75"/>
        <v>0</v>
      </c>
      <c r="AD42" s="73">
        <f t="shared" si="76"/>
        <v>0</v>
      </c>
      <c r="AE42" s="73">
        <f t="shared" si="77"/>
        <v>0</v>
      </c>
      <c r="AG42" s="72">
        <f>RANK($AH42,$AH$40:$AH$43,1)+COUNTIF($AH$40:$AH42,$AH42)-1</f>
        <v>3</v>
      </c>
      <c r="AH42" s="72">
        <f>AI42+AJ42+AK42</f>
        <v>1</v>
      </c>
      <c r="AI42" s="72">
        <f t="shared" si="81"/>
        <v>0</v>
      </c>
      <c r="AJ42" s="72">
        <f t="shared" si="82"/>
        <v>0</v>
      </c>
      <c r="AK42" s="72">
        <f t="shared" si="83"/>
        <v>1</v>
      </c>
      <c r="AL42" s="88" t="s">
        <v>42</v>
      </c>
      <c r="AM42" s="72">
        <f t="shared" si="84"/>
        <v>0</v>
      </c>
      <c r="AN42" s="72">
        <f t="shared" si="85"/>
        <v>0</v>
      </c>
      <c r="AO42" s="72">
        <f t="shared" si="86"/>
        <v>0</v>
      </c>
      <c r="AP42" s="72">
        <f t="shared" si="87"/>
        <v>0</v>
      </c>
      <c r="AR42" s="72">
        <v>3</v>
      </c>
      <c r="AS42" s="72" t="str">
        <f t="shared" si="88"/>
        <v>Japan</v>
      </c>
      <c r="AT42" s="72">
        <f t="shared" si="89"/>
        <v>0</v>
      </c>
      <c r="AU42" s="72">
        <f t="shared" si="90"/>
        <v>0</v>
      </c>
      <c r="AV42" s="72">
        <f t="shared" si="91"/>
        <v>0</v>
      </c>
      <c r="AW42" s="72">
        <f t="shared" si="92"/>
        <v>0</v>
      </c>
      <c r="AX42" s="177"/>
      <c r="AY42" s="182"/>
      <c r="AZ42" s="177"/>
      <c r="BA42" s="181"/>
      <c r="BB42" s="177"/>
      <c r="BC42" s="181"/>
      <c r="BD42" s="181"/>
      <c r="BE42" s="181"/>
      <c r="BF42" s="181"/>
      <c r="BG42" s="178"/>
      <c r="BI42" s="45"/>
      <c r="BJ42" s="49"/>
      <c r="BK42" s="49"/>
      <c r="BL42" s="49"/>
      <c r="BM42" s="49"/>
      <c r="BO42" s="87">
        <v>39</v>
      </c>
      <c r="BP42" s="16"/>
      <c r="BQ42" s="157"/>
      <c r="BR42" s="162"/>
    </row>
    <row r="43" spans="2:70" ht="14.25" customHeight="1" x14ac:dyDescent="0.25">
      <c r="B43" s="16">
        <v>28</v>
      </c>
      <c r="C43" s="95">
        <v>44892</v>
      </c>
      <c r="D43" s="84" t="s">
        <v>27</v>
      </c>
      <c r="E43" s="85" t="s">
        <v>6</v>
      </c>
      <c r="F43" s="86" t="s">
        <v>63</v>
      </c>
      <c r="G43" s="62"/>
      <c r="H43" s="87" t="s">
        <v>6</v>
      </c>
      <c r="I43" s="62"/>
      <c r="J43" s="64" t="str">
        <f t="shared" si="78"/>
        <v/>
      </c>
      <c r="K43" s="2">
        <v>4</v>
      </c>
      <c r="L43" s="21" t="str">
        <f>VLOOKUP(K43,$AR$40:$AW$43,2,FALSE)</f>
        <v>Costa Rica</v>
      </c>
      <c r="M43" s="18">
        <f>VLOOKUP(L43,$AS$40:$AW$43,2,FALSE)</f>
        <v>0</v>
      </c>
      <c r="N43" s="18">
        <f>VLOOKUP(L43,$AS$40:$AW$43,3,FALSE)</f>
        <v>0</v>
      </c>
      <c r="O43" s="18">
        <f>VLOOKUP(L43,$AS$40:$AW$43,4,FALSE)</f>
        <v>0</v>
      </c>
      <c r="P43" s="19">
        <f>VLOOKUP(L43,$AS$40:$AW$43,5,FALSE)</f>
        <v>0</v>
      </c>
      <c r="S43" s="117"/>
      <c r="X43" s="88" t="str">
        <f t="shared" si="79"/>
        <v>Spanien</v>
      </c>
      <c r="Y43" s="89">
        <f t="shared" si="72"/>
        <v>0</v>
      </c>
      <c r="Z43" s="89">
        <f t="shared" si="73"/>
        <v>0</v>
      </c>
      <c r="AA43" s="89">
        <f t="shared" si="74"/>
        <v>0</v>
      </c>
      <c r="AB43" s="88" t="str">
        <f t="shared" si="80"/>
        <v>Tyskland</v>
      </c>
      <c r="AC43" s="89">
        <f t="shared" si="75"/>
        <v>0</v>
      </c>
      <c r="AD43" s="73">
        <f t="shared" si="76"/>
        <v>0</v>
      </c>
      <c r="AE43" s="73">
        <f t="shared" si="77"/>
        <v>0</v>
      </c>
      <c r="AG43" s="72">
        <f>RANK($AH43,$AH$40:$AH$43,1)+COUNTIF($AH$40:$AH43,$AH43)-1</f>
        <v>4</v>
      </c>
      <c r="AH43" s="72">
        <f>AI43+AJ43+AK43</f>
        <v>1</v>
      </c>
      <c r="AI43" s="72">
        <f t="shared" si="81"/>
        <v>0</v>
      </c>
      <c r="AJ43" s="72">
        <f t="shared" si="82"/>
        <v>0</v>
      </c>
      <c r="AK43" s="72">
        <f t="shared" si="83"/>
        <v>1</v>
      </c>
      <c r="AL43" s="88" t="s">
        <v>51</v>
      </c>
      <c r="AM43" s="72">
        <f t="shared" si="84"/>
        <v>0</v>
      </c>
      <c r="AN43" s="72">
        <f t="shared" si="85"/>
        <v>0</v>
      </c>
      <c r="AO43" s="72">
        <f t="shared" si="86"/>
        <v>0</v>
      </c>
      <c r="AP43" s="72">
        <f t="shared" si="87"/>
        <v>0</v>
      </c>
      <c r="AR43" s="72">
        <v>4</v>
      </c>
      <c r="AS43" s="72" t="str">
        <f t="shared" si="88"/>
        <v>Costa Rica</v>
      </c>
      <c r="AT43" s="72">
        <f t="shared" si="89"/>
        <v>0</v>
      </c>
      <c r="AU43" s="72">
        <f t="shared" si="90"/>
        <v>0</v>
      </c>
      <c r="AV43" s="72">
        <f t="shared" si="91"/>
        <v>0</v>
      </c>
      <c r="AW43" s="72">
        <f t="shared" si="92"/>
        <v>0</v>
      </c>
      <c r="AX43" s="177"/>
      <c r="AY43" s="182"/>
      <c r="AZ43" s="177"/>
      <c r="BA43" s="181"/>
      <c r="BB43" s="177"/>
      <c r="BC43" s="181"/>
      <c r="BD43" s="181"/>
      <c r="BE43" s="181"/>
      <c r="BF43" s="181"/>
      <c r="BG43" s="178"/>
      <c r="BI43" s="45"/>
      <c r="BJ43" s="49"/>
      <c r="BK43" s="49"/>
      <c r="BL43" s="49"/>
      <c r="BM43" s="49"/>
      <c r="BO43" s="87">
        <v>40</v>
      </c>
      <c r="BP43" s="16"/>
      <c r="BQ43" s="157"/>
      <c r="BR43" s="162"/>
    </row>
    <row r="44" spans="2:70" ht="14.25" customHeight="1" x14ac:dyDescent="0.25">
      <c r="B44" s="16">
        <v>43</v>
      </c>
      <c r="C44" s="95">
        <v>44896</v>
      </c>
      <c r="D44" s="84" t="s">
        <v>42</v>
      </c>
      <c r="E44" s="85" t="s">
        <v>6</v>
      </c>
      <c r="F44" s="86" t="s">
        <v>27</v>
      </c>
      <c r="G44" s="62"/>
      <c r="H44" s="87" t="s">
        <v>6</v>
      </c>
      <c r="I44" s="62"/>
      <c r="J44" s="64" t="str">
        <f t="shared" si="78"/>
        <v/>
      </c>
      <c r="L44" s="187">
        <f>COUNTBLANK(G40:G45)+COUNTBLANK(I40:I45)</f>
        <v>12</v>
      </c>
      <c r="M44" s="32"/>
      <c r="N44" s="32"/>
      <c r="O44" s="32"/>
      <c r="P44" s="32"/>
      <c r="X44" s="88" t="str">
        <f t="shared" si="79"/>
        <v>Japan</v>
      </c>
      <c r="Y44" s="89">
        <f t="shared" si="72"/>
        <v>0</v>
      </c>
      <c r="Z44" s="89">
        <f t="shared" si="73"/>
        <v>0</v>
      </c>
      <c r="AA44" s="89">
        <f t="shared" si="74"/>
        <v>0</v>
      </c>
      <c r="AB44" s="88" t="str">
        <f t="shared" si="80"/>
        <v>Spanien</v>
      </c>
      <c r="AC44" s="89">
        <f t="shared" si="75"/>
        <v>0</v>
      </c>
      <c r="AD44" s="73">
        <f t="shared" si="76"/>
        <v>0</v>
      </c>
      <c r="AE44" s="73">
        <f t="shared" si="77"/>
        <v>0</v>
      </c>
      <c r="AX44" s="177"/>
      <c r="AY44" s="182"/>
      <c r="AZ44" s="177"/>
      <c r="BA44" s="181"/>
      <c r="BB44" s="177"/>
      <c r="BC44" s="181"/>
      <c r="BD44" s="181"/>
      <c r="BE44" s="181"/>
      <c r="BF44" s="181"/>
      <c r="BG44" s="178"/>
      <c r="BJ44" s="49"/>
      <c r="BK44" s="49"/>
      <c r="BL44" s="49"/>
      <c r="BM44" s="49"/>
      <c r="BO44" s="87">
        <v>41</v>
      </c>
      <c r="BP44" s="16"/>
      <c r="BQ44" s="157"/>
      <c r="BR44" s="162"/>
    </row>
    <row r="45" spans="2:70" ht="14.25" customHeight="1" x14ac:dyDescent="0.25">
      <c r="B45" s="16">
        <v>44</v>
      </c>
      <c r="C45" s="95">
        <v>44896</v>
      </c>
      <c r="D45" s="84" t="s">
        <v>51</v>
      </c>
      <c r="E45" s="85" t="s">
        <v>6</v>
      </c>
      <c r="F45" s="86" t="s">
        <v>63</v>
      </c>
      <c r="G45" s="62"/>
      <c r="H45" s="87" t="s">
        <v>6</v>
      </c>
      <c r="I45" s="62"/>
      <c r="J45" s="64" t="str">
        <f t="shared" si="78"/>
        <v/>
      </c>
      <c r="L45" s="4"/>
      <c r="M45" s="32"/>
      <c r="N45" s="32"/>
      <c r="O45" s="32"/>
      <c r="P45" s="32"/>
      <c r="X45" s="88" t="str">
        <f t="shared" si="79"/>
        <v>Costa Rica</v>
      </c>
      <c r="Y45" s="89">
        <f t="shared" si="72"/>
        <v>0</v>
      </c>
      <c r="Z45" s="89">
        <f t="shared" si="73"/>
        <v>0</v>
      </c>
      <c r="AA45" s="89">
        <f t="shared" si="74"/>
        <v>0</v>
      </c>
      <c r="AB45" s="88" t="str">
        <f t="shared" si="80"/>
        <v>Tyskland</v>
      </c>
      <c r="AC45" s="89">
        <f t="shared" si="75"/>
        <v>0</v>
      </c>
      <c r="AD45" s="73">
        <f t="shared" si="76"/>
        <v>0</v>
      </c>
      <c r="AE45" s="73">
        <f t="shared" si="77"/>
        <v>0</v>
      </c>
      <c r="AX45" s="177"/>
      <c r="AY45" s="182"/>
      <c r="AZ45" s="177"/>
      <c r="BA45" s="181"/>
      <c r="BB45" s="177"/>
      <c r="BC45" s="181"/>
      <c r="BD45" s="181"/>
      <c r="BE45" s="181"/>
      <c r="BF45" s="181"/>
      <c r="BG45" s="178"/>
      <c r="BJ45" s="49"/>
      <c r="BK45" s="49"/>
      <c r="BL45" s="49"/>
      <c r="BM45" s="49"/>
      <c r="BO45" s="87">
        <v>42</v>
      </c>
      <c r="BP45" s="16"/>
      <c r="BQ45" s="157"/>
      <c r="BR45" s="162"/>
    </row>
    <row r="46" spans="2:70" ht="14.25" customHeight="1" x14ac:dyDescent="0.25">
      <c r="C46" s="38"/>
      <c r="J46" s="24"/>
      <c r="M46" s="23"/>
      <c r="N46" s="35"/>
      <c r="O46" s="23"/>
      <c r="P46" s="23"/>
      <c r="AX46" s="177"/>
      <c r="AY46" s="182"/>
      <c r="AZ46" s="177"/>
      <c r="BA46" s="181"/>
      <c r="BB46" s="177"/>
      <c r="BC46" s="181"/>
      <c r="BD46" s="181"/>
      <c r="BE46" s="181"/>
      <c r="BF46" s="181"/>
      <c r="BG46" s="178"/>
      <c r="BJ46" s="49"/>
      <c r="BK46" s="46"/>
      <c r="BL46" s="49"/>
      <c r="BM46" s="49"/>
      <c r="BO46" s="87">
        <v>43</v>
      </c>
      <c r="BP46" s="16"/>
      <c r="BQ46" s="157"/>
      <c r="BR46" s="162"/>
    </row>
    <row r="47" spans="2:70" s="26" customFormat="1" ht="14.25" customHeight="1" x14ac:dyDescent="0.25">
      <c r="B47" s="6" t="s">
        <v>59</v>
      </c>
      <c r="C47" s="104"/>
      <c r="D47" s="117"/>
      <c r="E47" s="27"/>
      <c r="F47" s="117"/>
      <c r="G47" s="27"/>
      <c r="H47" s="27"/>
      <c r="I47" s="27"/>
      <c r="J47" s="24"/>
      <c r="K47" s="25"/>
      <c r="M47" s="27"/>
      <c r="N47" s="36"/>
      <c r="O47" s="27"/>
      <c r="P47" s="27"/>
      <c r="R47" s="27"/>
      <c r="S47" s="27"/>
      <c r="T47" s="27"/>
      <c r="U47" s="27"/>
      <c r="V47" s="122"/>
      <c r="X47" s="70"/>
      <c r="Y47" s="89"/>
      <c r="Z47" s="89"/>
      <c r="AA47" s="89"/>
      <c r="AB47" s="70"/>
      <c r="AC47" s="107"/>
      <c r="AD47" s="108"/>
      <c r="AE47" s="108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75"/>
      <c r="AY47" s="183"/>
      <c r="AZ47" s="175"/>
      <c r="BA47" s="179"/>
      <c r="BB47" s="175"/>
      <c r="BC47" s="179"/>
      <c r="BD47" s="179"/>
      <c r="BE47" s="179"/>
      <c r="BF47" s="179"/>
      <c r="BG47" s="179"/>
      <c r="BH47" s="110"/>
      <c r="BI47" s="1"/>
      <c r="BJ47" s="24"/>
      <c r="BK47" s="123"/>
      <c r="BL47" s="24"/>
      <c r="BM47" s="24"/>
      <c r="BO47" s="87">
        <v>44</v>
      </c>
      <c r="BP47" s="16"/>
      <c r="BQ47" s="157"/>
      <c r="BR47" s="162"/>
    </row>
    <row r="48" spans="2:70" s="26" customFormat="1" ht="14.25" customHeight="1" x14ac:dyDescent="0.25">
      <c r="B48" s="119" t="s">
        <v>2</v>
      </c>
      <c r="C48" s="112" t="s">
        <v>3</v>
      </c>
      <c r="D48" s="207" t="s">
        <v>2</v>
      </c>
      <c r="E48" s="208"/>
      <c r="F48" s="209"/>
      <c r="G48" s="208" t="s">
        <v>4</v>
      </c>
      <c r="H48" s="208"/>
      <c r="I48" s="208"/>
      <c r="J48" s="28" t="s">
        <v>69</v>
      </c>
      <c r="K48" s="25"/>
      <c r="L48" s="8" t="s">
        <v>59</v>
      </c>
      <c r="M48" s="9" t="s">
        <v>75</v>
      </c>
      <c r="N48" s="9" t="s">
        <v>76</v>
      </c>
      <c r="O48" s="9" t="s">
        <v>77</v>
      </c>
      <c r="P48" s="10" t="s">
        <v>87</v>
      </c>
      <c r="R48" s="27"/>
      <c r="S48" s="27"/>
      <c r="T48" s="27"/>
      <c r="U48" s="27"/>
      <c r="V48" s="122"/>
      <c r="X48" s="81" t="s">
        <v>73</v>
      </c>
      <c r="Y48" s="81" t="s">
        <v>75</v>
      </c>
      <c r="Z48" s="81" t="s">
        <v>76</v>
      </c>
      <c r="AA48" s="81" t="s">
        <v>77</v>
      </c>
      <c r="AB48" s="81" t="s">
        <v>74</v>
      </c>
      <c r="AC48" s="81" t="s">
        <v>75</v>
      </c>
      <c r="AD48" s="81" t="s">
        <v>76</v>
      </c>
      <c r="AE48" s="81" t="s">
        <v>77</v>
      </c>
      <c r="AF48" s="107"/>
      <c r="AG48" s="82" t="s">
        <v>85</v>
      </c>
      <c r="AH48" s="82" t="s">
        <v>84</v>
      </c>
      <c r="AI48" s="82" t="s">
        <v>83</v>
      </c>
      <c r="AJ48" s="81" t="s">
        <v>82</v>
      </c>
      <c r="AK48" s="81" t="s">
        <v>81</v>
      </c>
      <c r="AL48" s="81" t="s">
        <v>78</v>
      </c>
      <c r="AM48" s="81" t="s">
        <v>75</v>
      </c>
      <c r="AN48" s="81" t="s">
        <v>76</v>
      </c>
      <c r="AO48" s="81" t="s">
        <v>77</v>
      </c>
      <c r="AP48" s="82" t="s">
        <v>79</v>
      </c>
      <c r="AQ48" s="107"/>
      <c r="AR48" s="81" t="s">
        <v>80</v>
      </c>
      <c r="AS48" s="81" t="s">
        <v>78</v>
      </c>
      <c r="AT48" s="81" t="s">
        <v>75</v>
      </c>
      <c r="AU48" s="81" t="s">
        <v>76</v>
      </c>
      <c r="AV48" s="81" t="s">
        <v>77</v>
      </c>
      <c r="AW48" s="82" t="s">
        <v>79</v>
      </c>
      <c r="AX48" s="175"/>
      <c r="AY48" s="175"/>
      <c r="AZ48" s="179"/>
      <c r="BA48" s="179"/>
      <c r="BB48" s="179"/>
      <c r="BC48" s="206"/>
      <c r="BD48" s="206"/>
      <c r="BE48" s="206"/>
      <c r="BF48" s="179"/>
      <c r="BG48" s="179"/>
      <c r="BH48" s="110"/>
      <c r="BI48" s="114"/>
      <c r="BJ48" s="24"/>
      <c r="BK48" s="24"/>
      <c r="BL48" s="24"/>
      <c r="BM48" s="24"/>
      <c r="BO48" s="87">
        <v>45</v>
      </c>
      <c r="BP48" s="16"/>
      <c r="BQ48" s="157"/>
      <c r="BR48" s="162"/>
    </row>
    <row r="49" spans="2:70" ht="14.25" customHeight="1" x14ac:dyDescent="0.25">
      <c r="B49" s="16">
        <v>9</v>
      </c>
      <c r="C49" s="95">
        <v>44888</v>
      </c>
      <c r="D49" s="84" t="s">
        <v>68</v>
      </c>
      <c r="E49" s="85" t="s">
        <v>6</v>
      </c>
      <c r="F49" s="86" t="s">
        <v>161</v>
      </c>
      <c r="G49" s="62"/>
      <c r="H49" s="87" t="s">
        <v>6</v>
      </c>
      <c r="I49" s="62"/>
      <c r="J49" s="64" t="str">
        <f>IF(OR(ISBLANK(G49),ISBLANK(I49)),"",IF(G49&gt;I49,1,IF(G49&lt;I49,2,"X")))</f>
        <v/>
      </c>
      <c r="K49" s="12">
        <v>1</v>
      </c>
      <c r="L49" s="13" t="str">
        <f>VLOOKUP(K49,$AR$49:$AW$52,2,FALSE)</f>
        <v>Belgien</v>
      </c>
      <c r="M49" s="14">
        <f>VLOOKUP(L49,$AS$49:$AW$52,2,FALSE)</f>
        <v>0</v>
      </c>
      <c r="N49" s="14">
        <f>VLOOKUP(L49,$AS$49:$AW$52,3,FALSE)</f>
        <v>0</v>
      </c>
      <c r="O49" s="14">
        <f>VLOOKUP(L49,$AS$49:$AW$52,4,FALSE)</f>
        <v>0</v>
      </c>
      <c r="P49" s="15">
        <f>VLOOKUP(L49,$AS$49:$AW$52,5,FALSE)</f>
        <v>0</v>
      </c>
      <c r="X49" s="88" t="str">
        <f>D49</f>
        <v>Belgien</v>
      </c>
      <c r="Y49" s="89">
        <f t="shared" ref="Y49:Y54" si="93">IF(G49="",0,IF($G49&lt;$I49,0,IF($G49=$I49,1,3)))</f>
        <v>0</v>
      </c>
      <c r="Z49" s="89">
        <f t="shared" ref="Z49:Z54" si="94">G49</f>
        <v>0</v>
      </c>
      <c r="AA49" s="89">
        <f t="shared" ref="AA49:AA54" si="95">I49</f>
        <v>0</v>
      </c>
      <c r="AB49" s="88" t="str">
        <f>F49</f>
        <v>Kanada</v>
      </c>
      <c r="AC49" s="89">
        <f t="shared" ref="AC49:AC54" si="96">IF(I49="",0,IF(I49&lt;G49,0,IF(I49=G49,1,3)))</f>
        <v>0</v>
      </c>
      <c r="AD49" s="73">
        <f t="shared" ref="AD49:AD54" si="97">I49</f>
        <v>0</v>
      </c>
      <c r="AE49" s="73">
        <f t="shared" ref="AE49:AE54" si="98">G49</f>
        <v>0</v>
      </c>
      <c r="AG49" s="72">
        <f>RANK($AH49,$AH$49:$AH$52,1)+COUNTIF($AH$49:$AH49,$AH49)-1</f>
        <v>1</v>
      </c>
      <c r="AH49" s="72">
        <f>AI49+AJ49+AK49</f>
        <v>1</v>
      </c>
      <c r="AI49" s="72">
        <f>SUMPRODUCT(($AM$49:$AM$52=AM49)*($AP$49:$AP$52=AP49)*($AN$49:$AN$52&gt;AN49))</f>
        <v>0</v>
      </c>
      <c r="AJ49" s="72">
        <f>SUMPRODUCT(($AM$49:$AM$52=AM49)*($AP$49:$AP$52&gt;AP49))</f>
        <v>0</v>
      </c>
      <c r="AK49" s="72">
        <f>RANK(AM49,$AM$49:$AM$52)</f>
        <v>1</v>
      </c>
      <c r="AL49" s="88" t="s">
        <v>68</v>
      </c>
      <c r="AM49" s="72">
        <f>SUMIF($X$49:$X$54,$AL49,$Y$49:$Y$54)+SUMIF($AB$49:$AB$54,$AL49,$AC$49:$AC$54)</f>
        <v>0</v>
      </c>
      <c r="AN49" s="72">
        <f>SUMIF($X$49:$X$54,$AL49,$Z$49:$Z$54)+SUMIF($AB$49:$AB$54,$AL49,$AD$49:$AD$54)</f>
        <v>0</v>
      </c>
      <c r="AO49" s="72">
        <f>SUMIF($X$49:$X$54,$AL49,$AA$49:$AA$54)+SUMIF($AB$49:$AB$54,$AL49,$AE$49:$AE$54)</f>
        <v>0</v>
      </c>
      <c r="AP49" s="72">
        <f>AN49-AO49</f>
        <v>0</v>
      </c>
      <c r="AR49" s="72">
        <v>1</v>
      </c>
      <c r="AS49" s="72" t="str">
        <f>VLOOKUP($AR49,$AG$49:$AP$52,6,FALSE)</f>
        <v>Belgien</v>
      </c>
      <c r="AT49" s="72">
        <f>VLOOKUP($AS49,$AL$49:$AP$52,2,FALSE)</f>
        <v>0</v>
      </c>
      <c r="AU49" s="72">
        <f>VLOOKUP($AS49,$AL$49:$AP$52,3,FALSE)</f>
        <v>0</v>
      </c>
      <c r="AV49" s="72">
        <f>VLOOKUP($AS49,$AL$49:$AP$52,4,FALSE)</f>
        <v>0</v>
      </c>
      <c r="AW49" s="72">
        <f>VLOOKUP($AS49,$AL$49:$AP$52,5,FALSE)</f>
        <v>0</v>
      </c>
      <c r="AX49" s="177"/>
      <c r="AY49" s="182"/>
      <c r="AZ49" s="177"/>
      <c r="BA49" s="181"/>
      <c r="BB49" s="177"/>
      <c r="BC49" s="181"/>
      <c r="BD49" s="181"/>
      <c r="BE49" s="181"/>
      <c r="BF49" s="181"/>
      <c r="BG49" s="178"/>
      <c r="BH49" s="94"/>
      <c r="BI49" s="74"/>
      <c r="BJ49" s="49"/>
      <c r="BK49" s="49"/>
      <c r="BL49" s="49"/>
      <c r="BM49" s="49"/>
      <c r="BO49" s="87">
        <v>46</v>
      </c>
      <c r="BP49" s="16"/>
      <c r="BQ49" s="157"/>
      <c r="BR49" s="162"/>
    </row>
    <row r="50" spans="2:70" ht="14.25" customHeight="1" x14ac:dyDescent="0.25">
      <c r="B50" s="16">
        <v>12</v>
      </c>
      <c r="C50" s="95">
        <v>44888</v>
      </c>
      <c r="D50" s="84" t="s">
        <v>146</v>
      </c>
      <c r="E50" s="85" t="s">
        <v>6</v>
      </c>
      <c r="F50" s="86" t="s">
        <v>7</v>
      </c>
      <c r="G50" s="62"/>
      <c r="H50" s="87" t="s">
        <v>6</v>
      </c>
      <c r="I50" s="62"/>
      <c r="J50" s="64" t="str">
        <f t="shared" ref="J50:J54" si="99">IF(OR(ISBLANK(G50),ISBLANK(I50)),"",IF(G50&gt;I50,1,IF(G50&lt;I50,2,"X")))</f>
        <v/>
      </c>
      <c r="K50" s="2">
        <v>2</v>
      </c>
      <c r="L50" s="17" t="str">
        <f>VLOOKUP(K50,$AR$49:$AW$52,2,FALSE)</f>
        <v>Kanada</v>
      </c>
      <c r="M50" s="18">
        <f>VLOOKUP(L50,$AS$49:$AW$52,2,FALSE)</f>
        <v>0</v>
      </c>
      <c r="N50" s="18">
        <f>VLOOKUP(L50,$AS$49:$AW$52,3,FALSE)</f>
        <v>0</v>
      </c>
      <c r="O50" s="18">
        <f>VLOOKUP(L50,$AS$49:$AW$52,4,FALSE)</f>
        <v>0</v>
      </c>
      <c r="P50" s="19">
        <f>VLOOKUP(L50,$AS$49:$AW$52,5,FALSE)</f>
        <v>0</v>
      </c>
      <c r="X50" s="88" t="str">
        <f t="shared" ref="X50:X54" si="100">D50</f>
        <v>Marocko</v>
      </c>
      <c r="Y50" s="89">
        <f t="shared" si="93"/>
        <v>0</v>
      </c>
      <c r="Z50" s="89">
        <f t="shared" si="94"/>
        <v>0</v>
      </c>
      <c r="AA50" s="89">
        <f t="shared" si="95"/>
        <v>0</v>
      </c>
      <c r="AB50" s="88" t="str">
        <f t="shared" ref="AB50:AB54" si="101">F50</f>
        <v>Kroatien</v>
      </c>
      <c r="AC50" s="89">
        <f t="shared" si="96"/>
        <v>0</v>
      </c>
      <c r="AD50" s="73">
        <f t="shared" si="97"/>
        <v>0</v>
      </c>
      <c r="AE50" s="73">
        <f t="shared" si="98"/>
        <v>0</v>
      </c>
      <c r="AG50" s="72">
        <f>RANK($AH50,$AH$49:$AH$52,1)+COUNTIF($AH$49:$AH50,$AH50)-1</f>
        <v>2</v>
      </c>
      <c r="AH50" s="72">
        <f>AI50+AJ50+AK50</f>
        <v>1</v>
      </c>
      <c r="AI50" s="72">
        <f t="shared" ref="AI50:AI52" si="102">SUMPRODUCT(($AM$49:$AM$52=AM50)*($AP$49:$AP$52=AP50)*($AN$49:$AN$52&gt;AN50))</f>
        <v>0</v>
      </c>
      <c r="AJ50" s="72">
        <f t="shared" ref="AJ50:AJ52" si="103">SUMPRODUCT(($AM$49:$AM$52=AM50)*($AP$49:$AP$52&gt;AP50))</f>
        <v>0</v>
      </c>
      <c r="AK50" s="72">
        <f t="shared" ref="AK50:AK52" si="104">RANK(AM50,$AM$49:$AM$52)</f>
        <v>1</v>
      </c>
      <c r="AL50" s="88" t="s">
        <v>161</v>
      </c>
      <c r="AM50" s="72">
        <f t="shared" ref="AM50:AM52" si="105">SUMIF($X$49:$X$54,$AL50,$Y$49:$Y$54)+SUMIF($AB$49:$AB$54,$AL50,$AC$49:$AC$54)</f>
        <v>0</v>
      </c>
      <c r="AN50" s="72">
        <f t="shared" ref="AN50:AN52" si="106">SUMIF($X$49:$X$54,$AL50,$Z$49:$Z$54)+SUMIF($AB$49:$AB$54,$AL50,$AD$49:$AD$54)</f>
        <v>0</v>
      </c>
      <c r="AO50" s="72">
        <f t="shared" ref="AO50:AO52" si="107">SUMIF($X$49:$X$54,$AL50,$AA$49:$AA$54)+SUMIF($AB$49:$AB$54,$AL50,$AE$49:$AE$54)</f>
        <v>0</v>
      </c>
      <c r="AP50" s="72">
        <f t="shared" ref="AP50:AP52" si="108">AN50-AO50</f>
        <v>0</v>
      </c>
      <c r="AR50" s="72">
        <v>2</v>
      </c>
      <c r="AS50" s="72" t="str">
        <f t="shared" ref="AS50:AS52" si="109">VLOOKUP($AR50,$AG$49:$AP$52,6,FALSE)</f>
        <v>Kanada</v>
      </c>
      <c r="AT50" s="72">
        <f t="shared" ref="AT50:AT52" si="110">VLOOKUP($AS50,$AL$49:$AP$52,2,FALSE)</f>
        <v>0</v>
      </c>
      <c r="AU50" s="72">
        <f t="shared" ref="AU50:AU52" si="111">VLOOKUP($AS50,$AL$49:$AP$52,3,FALSE)</f>
        <v>0</v>
      </c>
      <c r="AV50" s="72">
        <f t="shared" ref="AV50:AV52" si="112">VLOOKUP($AS50,$AL$49:$AP$52,4,FALSE)</f>
        <v>0</v>
      </c>
      <c r="AW50" s="72">
        <f t="shared" ref="AW50:AW52" si="113">VLOOKUP($AS50,$AL$49:$AP$52,5,FALSE)</f>
        <v>0</v>
      </c>
      <c r="AX50" s="177"/>
      <c r="AY50" s="182"/>
      <c r="AZ50" s="177"/>
      <c r="BA50" s="181"/>
      <c r="BB50" s="177"/>
      <c r="BC50" s="181"/>
      <c r="BD50" s="181"/>
      <c r="BE50" s="181"/>
      <c r="BF50" s="181"/>
      <c r="BG50" s="178"/>
      <c r="BI50" s="74"/>
      <c r="BJ50" s="49"/>
      <c r="BK50" s="49"/>
      <c r="BL50" s="49"/>
      <c r="BM50" s="49"/>
      <c r="BO50" s="87">
        <v>47</v>
      </c>
      <c r="BP50" s="16"/>
      <c r="BQ50" s="157"/>
      <c r="BR50" s="162"/>
    </row>
    <row r="51" spans="2:70" ht="14.25" customHeight="1" x14ac:dyDescent="0.25">
      <c r="B51" s="16">
        <v>26</v>
      </c>
      <c r="C51" s="95">
        <v>44892</v>
      </c>
      <c r="D51" s="84" t="s">
        <v>68</v>
      </c>
      <c r="E51" s="85" t="s">
        <v>6</v>
      </c>
      <c r="F51" s="86" t="s">
        <v>146</v>
      </c>
      <c r="G51" s="62"/>
      <c r="H51" s="87" t="s">
        <v>6</v>
      </c>
      <c r="I51" s="62"/>
      <c r="J51" s="64" t="str">
        <f t="shared" si="99"/>
        <v/>
      </c>
      <c r="K51" s="2">
        <v>3</v>
      </c>
      <c r="L51" s="137" t="str">
        <f>VLOOKUP(K51,$AR$49:$AW$52,2,FALSE)</f>
        <v>Marocko</v>
      </c>
      <c r="M51" s="32">
        <f>VLOOKUP(L51,$AS$49:$AW$52,2,FALSE)</f>
        <v>0</v>
      </c>
      <c r="N51" s="32">
        <f>VLOOKUP(L51,$AS$49:$AW$52,3,FALSE)</f>
        <v>0</v>
      </c>
      <c r="O51" s="32">
        <f>VLOOKUP(L51,$AS$49:$AW$52,4,FALSE)</f>
        <v>0</v>
      </c>
      <c r="P51" s="33">
        <f>VLOOKUP(L51,$AS$49:$AW$52,5,FALSE)</f>
        <v>0</v>
      </c>
      <c r="X51" s="88" t="str">
        <f t="shared" si="100"/>
        <v>Belgien</v>
      </c>
      <c r="Y51" s="89">
        <f t="shared" si="93"/>
        <v>0</v>
      </c>
      <c r="Z51" s="89">
        <f t="shared" si="94"/>
        <v>0</v>
      </c>
      <c r="AA51" s="89">
        <f t="shared" si="95"/>
        <v>0</v>
      </c>
      <c r="AB51" s="88" t="str">
        <f t="shared" si="101"/>
        <v>Marocko</v>
      </c>
      <c r="AC51" s="89">
        <f t="shared" si="96"/>
        <v>0</v>
      </c>
      <c r="AD51" s="73">
        <f t="shared" si="97"/>
        <v>0</v>
      </c>
      <c r="AE51" s="73">
        <f t="shared" si="98"/>
        <v>0</v>
      </c>
      <c r="AG51" s="72">
        <f>RANK($AH51,$AH$49:$AH$52,1)+COUNTIF($AH$49:$AH51,$AH51)-1</f>
        <v>3</v>
      </c>
      <c r="AH51" s="72">
        <f>AI51+AJ51+AK51</f>
        <v>1</v>
      </c>
      <c r="AI51" s="72">
        <f t="shared" si="102"/>
        <v>0</v>
      </c>
      <c r="AJ51" s="72">
        <f t="shared" si="103"/>
        <v>0</v>
      </c>
      <c r="AK51" s="72">
        <f t="shared" si="104"/>
        <v>1</v>
      </c>
      <c r="AL51" s="88" t="s">
        <v>146</v>
      </c>
      <c r="AM51" s="72">
        <f t="shared" si="105"/>
        <v>0</v>
      </c>
      <c r="AN51" s="72">
        <f t="shared" si="106"/>
        <v>0</v>
      </c>
      <c r="AO51" s="72">
        <f t="shared" si="107"/>
        <v>0</v>
      </c>
      <c r="AP51" s="72">
        <f t="shared" si="108"/>
        <v>0</v>
      </c>
      <c r="AR51" s="72">
        <v>3</v>
      </c>
      <c r="AS51" s="72" t="str">
        <f t="shared" si="109"/>
        <v>Marocko</v>
      </c>
      <c r="AT51" s="72">
        <f t="shared" si="110"/>
        <v>0</v>
      </c>
      <c r="AU51" s="72">
        <f t="shared" si="111"/>
        <v>0</v>
      </c>
      <c r="AV51" s="72">
        <f t="shared" si="112"/>
        <v>0</v>
      </c>
      <c r="AW51" s="72">
        <f t="shared" si="113"/>
        <v>0</v>
      </c>
      <c r="AX51" s="177"/>
      <c r="AY51" s="182"/>
      <c r="AZ51" s="177"/>
      <c r="BA51" s="181"/>
      <c r="BB51" s="177"/>
      <c r="BC51" s="181"/>
      <c r="BD51" s="181"/>
      <c r="BE51" s="181"/>
      <c r="BF51" s="181"/>
      <c r="BG51" s="178"/>
      <c r="BI51" s="45"/>
      <c r="BJ51" s="49"/>
      <c r="BK51" s="49"/>
      <c r="BL51" s="49"/>
      <c r="BM51" s="49"/>
      <c r="BO51" s="87">
        <v>48</v>
      </c>
      <c r="BP51" s="16"/>
      <c r="BQ51" s="157"/>
      <c r="BR51" s="162"/>
    </row>
    <row r="52" spans="2:70" ht="14.25" customHeight="1" x14ac:dyDescent="0.25">
      <c r="B52" s="16">
        <v>27</v>
      </c>
      <c r="C52" s="95">
        <v>44892</v>
      </c>
      <c r="D52" s="84" t="s">
        <v>7</v>
      </c>
      <c r="E52" s="85" t="s">
        <v>6</v>
      </c>
      <c r="F52" s="86" t="s">
        <v>161</v>
      </c>
      <c r="G52" s="62"/>
      <c r="H52" s="87" t="s">
        <v>6</v>
      </c>
      <c r="I52" s="62"/>
      <c r="J52" s="64" t="str">
        <f t="shared" si="99"/>
        <v/>
      </c>
      <c r="K52" s="2">
        <v>4</v>
      </c>
      <c r="L52" s="21" t="str">
        <f>VLOOKUP(K52,$AR$49:$AW$52,2,FALSE)</f>
        <v>Kroatien</v>
      </c>
      <c r="M52" s="18">
        <f>VLOOKUP(L52,$AS$49:$AW$52,2,FALSE)</f>
        <v>0</v>
      </c>
      <c r="N52" s="18">
        <f>VLOOKUP(L52,$AS$49:$AW$52,3,FALSE)</f>
        <v>0</v>
      </c>
      <c r="O52" s="18">
        <f>VLOOKUP(L52,$AS$49:$AW$52,4,FALSE)</f>
        <v>0</v>
      </c>
      <c r="P52" s="19">
        <f>VLOOKUP(L52,$AS$49:$AW$52,5,FALSE)</f>
        <v>0</v>
      </c>
      <c r="X52" s="88" t="str">
        <f t="shared" si="100"/>
        <v>Kroatien</v>
      </c>
      <c r="Y52" s="89">
        <f t="shared" si="93"/>
        <v>0</v>
      </c>
      <c r="Z52" s="89">
        <f t="shared" si="94"/>
        <v>0</v>
      </c>
      <c r="AA52" s="89">
        <f t="shared" si="95"/>
        <v>0</v>
      </c>
      <c r="AB52" s="88" t="str">
        <f t="shared" si="101"/>
        <v>Kanada</v>
      </c>
      <c r="AC52" s="89">
        <f t="shared" si="96"/>
        <v>0</v>
      </c>
      <c r="AD52" s="73">
        <f t="shared" si="97"/>
        <v>0</v>
      </c>
      <c r="AE52" s="73">
        <f t="shared" si="98"/>
        <v>0</v>
      </c>
      <c r="AG52" s="72">
        <f>RANK($AH52,$AH$49:$AH$52,1)+COUNTIF($AH$49:$AH52,$AH52)-1</f>
        <v>4</v>
      </c>
      <c r="AH52" s="72">
        <f>AI52+AJ52+AK52</f>
        <v>1</v>
      </c>
      <c r="AI52" s="72">
        <f t="shared" si="102"/>
        <v>0</v>
      </c>
      <c r="AJ52" s="72">
        <f t="shared" si="103"/>
        <v>0</v>
      </c>
      <c r="AK52" s="72">
        <f t="shared" si="104"/>
        <v>1</v>
      </c>
      <c r="AL52" s="88" t="s">
        <v>7</v>
      </c>
      <c r="AM52" s="72">
        <f t="shared" si="105"/>
        <v>0</v>
      </c>
      <c r="AN52" s="72">
        <f t="shared" si="106"/>
        <v>0</v>
      </c>
      <c r="AO52" s="72">
        <f t="shared" si="107"/>
        <v>0</v>
      </c>
      <c r="AP52" s="72">
        <f t="shared" si="108"/>
        <v>0</v>
      </c>
      <c r="AR52" s="72">
        <v>4</v>
      </c>
      <c r="AS52" s="72" t="str">
        <f t="shared" si="109"/>
        <v>Kroatien</v>
      </c>
      <c r="AT52" s="72">
        <f t="shared" si="110"/>
        <v>0</v>
      </c>
      <c r="AU52" s="72">
        <f t="shared" si="111"/>
        <v>0</v>
      </c>
      <c r="AV52" s="72">
        <f t="shared" si="112"/>
        <v>0</v>
      </c>
      <c r="AW52" s="72">
        <f t="shared" si="113"/>
        <v>0</v>
      </c>
      <c r="AX52" s="177"/>
      <c r="AY52" s="182"/>
      <c r="AZ52" s="177"/>
      <c r="BA52" s="181"/>
      <c r="BB52" s="177"/>
      <c r="BC52" s="181"/>
      <c r="BD52" s="181"/>
      <c r="BE52" s="181"/>
      <c r="BF52" s="181"/>
      <c r="BG52" s="178"/>
      <c r="BI52" s="45"/>
      <c r="BJ52" s="49"/>
      <c r="BK52" s="49"/>
      <c r="BL52" s="49"/>
      <c r="BM52" s="49"/>
      <c r="BO52" s="87">
        <v>49</v>
      </c>
      <c r="BP52" s="16"/>
      <c r="BQ52" s="157"/>
      <c r="BR52" s="162"/>
    </row>
    <row r="53" spans="2:70" ht="14.25" customHeight="1" x14ac:dyDescent="0.25">
      <c r="B53" s="16">
        <v>41</v>
      </c>
      <c r="C53" s="95">
        <v>44896</v>
      </c>
      <c r="D53" s="84" t="s">
        <v>7</v>
      </c>
      <c r="E53" s="85" t="s">
        <v>6</v>
      </c>
      <c r="F53" s="86" t="s">
        <v>68</v>
      </c>
      <c r="G53" s="62"/>
      <c r="H53" s="87" t="s">
        <v>6</v>
      </c>
      <c r="I53" s="62"/>
      <c r="J53" s="64" t="str">
        <f t="shared" si="99"/>
        <v/>
      </c>
      <c r="L53" s="187">
        <f>COUNTBLANK(G49:G54)+COUNTBLANK(I49:I54)</f>
        <v>12</v>
      </c>
      <c r="M53" s="32"/>
      <c r="N53" s="32"/>
      <c r="O53" s="32"/>
      <c r="P53" s="32"/>
      <c r="X53" s="88" t="str">
        <f t="shared" si="100"/>
        <v>Kroatien</v>
      </c>
      <c r="Y53" s="89">
        <f t="shared" si="93"/>
        <v>0</v>
      </c>
      <c r="Z53" s="89">
        <f t="shared" si="94"/>
        <v>0</v>
      </c>
      <c r="AA53" s="89">
        <f t="shared" si="95"/>
        <v>0</v>
      </c>
      <c r="AB53" s="88" t="str">
        <f t="shared" si="101"/>
        <v>Belgien</v>
      </c>
      <c r="AC53" s="89">
        <f t="shared" si="96"/>
        <v>0</v>
      </c>
      <c r="AD53" s="73">
        <f t="shared" si="97"/>
        <v>0</v>
      </c>
      <c r="AE53" s="73">
        <f t="shared" si="98"/>
        <v>0</v>
      </c>
      <c r="AX53" s="177"/>
      <c r="AY53" s="182"/>
      <c r="AZ53" s="177"/>
      <c r="BA53" s="181"/>
      <c r="BB53" s="177"/>
      <c r="BC53" s="181"/>
      <c r="BD53" s="181"/>
      <c r="BE53" s="181"/>
      <c r="BF53" s="181"/>
      <c r="BG53" s="178"/>
      <c r="BJ53" s="49"/>
      <c r="BK53" s="49"/>
      <c r="BL53" s="49"/>
      <c r="BM53" s="49"/>
      <c r="BO53" s="87">
        <v>50</v>
      </c>
      <c r="BP53" s="16"/>
      <c r="BQ53" s="157"/>
      <c r="BR53" s="162"/>
    </row>
    <row r="54" spans="2:70" ht="14.25" customHeight="1" x14ac:dyDescent="0.25">
      <c r="B54" s="16">
        <v>42</v>
      </c>
      <c r="C54" s="95">
        <v>44896</v>
      </c>
      <c r="D54" s="84" t="s">
        <v>161</v>
      </c>
      <c r="E54" s="85" t="s">
        <v>6</v>
      </c>
      <c r="F54" s="86" t="s">
        <v>146</v>
      </c>
      <c r="G54" s="62"/>
      <c r="H54" s="87" t="s">
        <v>6</v>
      </c>
      <c r="I54" s="62"/>
      <c r="J54" s="64" t="str">
        <f t="shared" si="99"/>
        <v/>
      </c>
      <c r="L54" s="4"/>
      <c r="M54" s="32"/>
      <c r="N54" s="32"/>
      <c r="O54" s="32"/>
      <c r="P54" s="32"/>
      <c r="X54" s="88" t="str">
        <f t="shared" si="100"/>
        <v>Kanada</v>
      </c>
      <c r="Y54" s="89">
        <f t="shared" si="93"/>
        <v>0</v>
      </c>
      <c r="Z54" s="89">
        <f t="shared" si="94"/>
        <v>0</v>
      </c>
      <c r="AA54" s="89">
        <f t="shared" si="95"/>
        <v>0</v>
      </c>
      <c r="AB54" s="88" t="str">
        <f t="shared" si="101"/>
        <v>Marocko</v>
      </c>
      <c r="AC54" s="89">
        <f t="shared" si="96"/>
        <v>0</v>
      </c>
      <c r="AD54" s="73">
        <f t="shared" si="97"/>
        <v>0</v>
      </c>
      <c r="AE54" s="73">
        <f t="shared" si="98"/>
        <v>0</v>
      </c>
      <c r="AX54" s="177"/>
      <c r="AY54" s="182"/>
      <c r="AZ54" s="177"/>
      <c r="BA54" s="181"/>
      <c r="BB54" s="177"/>
      <c r="BC54" s="181"/>
      <c r="BD54" s="181"/>
      <c r="BE54" s="181"/>
      <c r="BF54" s="181"/>
      <c r="BG54" s="178"/>
      <c r="BJ54" s="49"/>
      <c r="BK54" s="49"/>
      <c r="BL54" s="49"/>
      <c r="BM54" s="49"/>
      <c r="BO54" s="87">
        <v>51</v>
      </c>
      <c r="BP54" s="16"/>
      <c r="BQ54" s="157"/>
      <c r="BR54" s="162"/>
    </row>
    <row r="55" spans="2:70" ht="14.25" customHeight="1" x14ac:dyDescent="0.25">
      <c r="C55" s="38"/>
      <c r="J55" s="24"/>
      <c r="M55" s="23"/>
      <c r="N55" s="35"/>
      <c r="O55" s="23"/>
      <c r="P55" s="23"/>
      <c r="AX55" s="177"/>
      <c r="AY55" s="182"/>
      <c r="AZ55" s="177"/>
      <c r="BA55" s="181"/>
      <c r="BB55" s="177"/>
      <c r="BC55" s="181"/>
      <c r="BD55" s="181"/>
      <c r="BE55" s="181"/>
      <c r="BF55" s="181"/>
      <c r="BG55" s="178"/>
      <c r="BJ55" s="49"/>
      <c r="BK55" s="46"/>
      <c r="BL55" s="49"/>
      <c r="BM55" s="49"/>
      <c r="BO55" s="87">
        <v>52</v>
      </c>
      <c r="BP55" s="16"/>
      <c r="BQ55" s="157"/>
      <c r="BR55" s="162"/>
    </row>
    <row r="56" spans="2:70" s="26" customFormat="1" ht="14.25" customHeight="1" x14ac:dyDescent="0.25">
      <c r="B56" s="6" t="s">
        <v>62</v>
      </c>
      <c r="C56" s="104"/>
      <c r="D56" s="117"/>
      <c r="E56" s="27"/>
      <c r="F56" s="117"/>
      <c r="G56" s="27"/>
      <c r="H56" s="27"/>
      <c r="I56" s="27"/>
      <c r="J56" s="24"/>
      <c r="K56" s="25"/>
      <c r="M56" s="27"/>
      <c r="N56" s="36"/>
      <c r="O56" s="27"/>
      <c r="P56" s="27"/>
      <c r="R56" s="27"/>
      <c r="S56" s="27"/>
      <c r="T56" s="27"/>
      <c r="U56" s="27"/>
      <c r="V56" s="122"/>
      <c r="X56" s="70"/>
      <c r="Y56" s="89"/>
      <c r="Z56" s="89"/>
      <c r="AA56" s="89"/>
      <c r="AB56" s="70"/>
      <c r="AC56" s="107"/>
      <c r="AD56" s="108"/>
      <c r="AE56" s="108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75"/>
      <c r="AY56" s="183"/>
      <c r="AZ56" s="175"/>
      <c r="BA56" s="179"/>
      <c r="BB56" s="175"/>
      <c r="BC56" s="179"/>
      <c r="BD56" s="179"/>
      <c r="BE56" s="179"/>
      <c r="BF56" s="179"/>
      <c r="BG56" s="179"/>
      <c r="BH56" s="110"/>
      <c r="BI56" s="1"/>
      <c r="BJ56" s="24"/>
      <c r="BK56" s="123"/>
      <c r="BL56" s="24"/>
      <c r="BM56" s="24"/>
      <c r="BO56" s="87">
        <v>53</v>
      </c>
      <c r="BP56" s="16"/>
      <c r="BQ56" s="157"/>
      <c r="BR56" s="162"/>
    </row>
    <row r="57" spans="2:70" s="26" customFormat="1" ht="14.25" customHeight="1" x14ac:dyDescent="0.25">
      <c r="B57" s="119" t="s">
        <v>2</v>
      </c>
      <c r="C57" s="112" t="s">
        <v>3</v>
      </c>
      <c r="D57" s="207" t="s">
        <v>2</v>
      </c>
      <c r="E57" s="208"/>
      <c r="F57" s="209"/>
      <c r="G57" s="208" t="s">
        <v>4</v>
      </c>
      <c r="H57" s="208"/>
      <c r="I57" s="208"/>
      <c r="J57" s="28" t="s">
        <v>69</v>
      </c>
      <c r="K57" s="25"/>
      <c r="L57" s="8" t="s">
        <v>62</v>
      </c>
      <c r="M57" s="9" t="s">
        <v>75</v>
      </c>
      <c r="N57" s="9" t="s">
        <v>76</v>
      </c>
      <c r="O57" s="9" t="s">
        <v>77</v>
      </c>
      <c r="P57" s="10" t="s">
        <v>87</v>
      </c>
      <c r="R57" s="27"/>
      <c r="S57" s="27"/>
      <c r="T57" s="27"/>
      <c r="U57" s="27"/>
      <c r="V57" s="122"/>
      <c r="X57" s="81" t="s">
        <v>73</v>
      </c>
      <c r="Y57" s="81" t="s">
        <v>75</v>
      </c>
      <c r="Z57" s="81" t="s">
        <v>76</v>
      </c>
      <c r="AA57" s="81" t="s">
        <v>77</v>
      </c>
      <c r="AB57" s="81" t="s">
        <v>74</v>
      </c>
      <c r="AC57" s="81" t="s">
        <v>75</v>
      </c>
      <c r="AD57" s="81" t="s">
        <v>76</v>
      </c>
      <c r="AE57" s="81" t="s">
        <v>77</v>
      </c>
      <c r="AF57" s="107"/>
      <c r="AG57" s="82" t="s">
        <v>85</v>
      </c>
      <c r="AH57" s="82" t="s">
        <v>84</v>
      </c>
      <c r="AI57" s="82" t="s">
        <v>83</v>
      </c>
      <c r="AJ57" s="81" t="s">
        <v>82</v>
      </c>
      <c r="AK57" s="81" t="s">
        <v>81</v>
      </c>
      <c r="AL57" s="81" t="s">
        <v>78</v>
      </c>
      <c r="AM57" s="81" t="s">
        <v>75</v>
      </c>
      <c r="AN57" s="81" t="s">
        <v>76</v>
      </c>
      <c r="AO57" s="81" t="s">
        <v>77</v>
      </c>
      <c r="AP57" s="82" t="s">
        <v>79</v>
      </c>
      <c r="AQ57" s="107"/>
      <c r="AR57" s="81" t="s">
        <v>80</v>
      </c>
      <c r="AS57" s="81" t="s">
        <v>78</v>
      </c>
      <c r="AT57" s="81" t="s">
        <v>75</v>
      </c>
      <c r="AU57" s="81" t="s">
        <v>76</v>
      </c>
      <c r="AV57" s="81" t="s">
        <v>77</v>
      </c>
      <c r="AW57" s="82" t="s">
        <v>79</v>
      </c>
      <c r="AX57" s="175"/>
      <c r="AY57" s="175"/>
      <c r="AZ57" s="179"/>
      <c r="BA57" s="179"/>
      <c r="BB57" s="179"/>
      <c r="BC57" s="206"/>
      <c r="BD57" s="206"/>
      <c r="BE57" s="206"/>
      <c r="BF57" s="179"/>
      <c r="BG57" s="179"/>
      <c r="BH57" s="110"/>
      <c r="BI57" s="114"/>
      <c r="BJ57" s="24"/>
      <c r="BK57" s="24"/>
      <c r="BL57" s="24"/>
      <c r="BM57" s="24"/>
      <c r="BO57" s="87">
        <v>54</v>
      </c>
      <c r="BP57" s="16"/>
      <c r="BQ57" s="157"/>
      <c r="BR57" s="162"/>
    </row>
    <row r="58" spans="2:70" ht="14.25" customHeight="1" x14ac:dyDescent="0.25">
      <c r="B58" s="16">
        <v>13</v>
      </c>
      <c r="C58" s="95">
        <v>44889</v>
      </c>
      <c r="D58" s="84" t="s">
        <v>56</v>
      </c>
      <c r="E58" s="85" t="s">
        <v>6</v>
      </c>
      <c r="F58" s="86" t="s">
        <v>11</v>
      </c>
      <c r="G58" s="62"/>
      <c r="H58" s="87" t="s">
        <v>6</v>
      </c>
      <c r="I58" s="62"/>
      <c r="J58" s="64" t="str">
        <f>IF(OR(ISBLANK(G58),ISBLANK(I58)),"",IF(G58&gt;I58,1,IF(G58&lt;I58,2,"X")))</f>
        <v/>
      </c>
      <c r="K58" s="12">
        <v>1</v>
      </c>
      <c r="L58" s="13" t="str">
        <f>VLOOKUP(K58,$AR$58:$AW$61,2,FALSE)</f>
        <v>Brasilien</v>
      </c>
      <c r="M58" s="14">
        <f>VLOOKUP(L58,$AS$58:$AW$61,2,FALSE)</f>
        <v>0</v>
      </c>
      <c r="N58" s="14">
        <f>VLOOKUP(L58,$AS$58:$AW$61,3,FALSE)</f>
        <v>0</v>
      </c>
      <c r="O58" s="14">
        <f>VLOOKUP(L58,$AS$58:$AW$61,4,FALSE)</f>
        <v>0</v>
      </c>
      <c r="P58" s="15">
        <f>VLOOKUP(L58,$AS$58:$AW$61,5,FALSE)</f>
        <v>0</v>
      </c>
      <c r="X58" s="88" t="str">
        <f>D58</f>
        <v>Schweiz</v>
      </c>
      <c r="Y58" s="89">
        <f t="shared" ref="Y58:Y63" si="114">IF(G58="",0,IF($G58&lt;$I58,0,IF($G58=$I58,1,3)))</f>
        <v>0</v>
      </c>
      <c r="Z58" s="89">
        <f t="shared" ref="Z58:Z63" si="115">G58</f>
        <v>0</v>
      </c>
      <c r="AA58" s="89">
        <f t="shared" ref="AA58:AA63" si="116">I58</f>
        <v>0</v>
      </c>
      <c r="AB58" s="88" t="str">
        <f>F58</f>
        <v>Kamerun</v>
      </c>
      <c r="AC58" s="89">
        <f t="shared" ref="AC58:AC63" si="117">IF(I58="",0,IF(I58&lt;G58,0,IF(I58=G58,1,3)))</f>
        <v>0</v>
      </c>
      <c r="AD58" s="73">
        <f t="shared" ref="AD58:AD63" si="118">I58</f>
        <v>0</v>
      </c>
      <c r="AE58" s="73">
        <f t="shared" ref="AE58:AE63" si="119">G58</f>
        <v>0</v>
      </c>
      <c r="AG58" s="72">
        <f>RANK($AH58,$AH$58:$AH$61,1)+COUNTIF($AH$58:$AH58,$AH58)-1</f>
        <v>1</v>
      </c>
      <c r="AH58" s="72">
        <f>AI58+AJ58+AK58</f>
        <v>1</v>
      </c>
      <c r="AI58" s="72">
        <f>SUMPRODUCT(($AM$58:$AM$61=AM58)*($AP$58:$AP$61=AP58)*($AN$58:$AN$61&gt;AN58))</f>
        <v>0</v>
      </c>
      <c r="AJ58" s="72">
        <f>SUMPRODUCT(($AM$58:$AM$61=AM58)*($AP$58:$AP$61&gt;AP58))</f>
        <v>0</v>
      </c>
      <c r="AK58" s="72">
        <f>RANK(AM58,$AM$58:$AM$61)</f>
        <v>1</v>
      </c>
      <c r="AL58" s="88" t="s">
        <v>5</v>
      </c>
      <c r="AM58" s="72">
        <f>SUMIF($X$58:$X$63,$AL58,$Y$58:$Y$63)+SUMIF($AB$58:$AB$63,$AL58,$AC$58:$AC$63)</f>
        <v>0</v>
      </c>
      <c r="AN58" s="72">
        <f>SUMIF($X$58:$X$63,$AL58,$Z$58:$Z$63)+SUMIF($AB$58:$AB$63,$AL58,$AD$58:$AD$63)</f>
        <v>0</v>
      </c>
      <c r="AO58" s="72">
        <f>SUMIF($X$58:$X$63,$AL58,$AA$58:$AA$63)+SUMIF($AB$58:$AB$63,$AL58,$AE$58:$AE$63)</f>
        <v>0</v>
      </c>
      <c r="AP58" s="72">
        <f>AN58-AO58</f>
        <v>0</v>
      </c>
      <c r="AR58" s="72">
        <v>1</v>
      </c>
      <c r="AS58" s="72" t="str">
        <f>VLOOKUP($AR58,$AG$58:$AP$61,6,FALSE)</f>
        <v>Brasilien</v>
      </c>
      <c r="AT58" s="72">
        <f>VLOOKUP($AS58,$AL$58:$AP$61,2,FALSE)</f>
        <v>0</v>
      </c>
      <c r="AU58" s="72">
        <f>VLOOKUP($AS58,$AL$58:$AP$61,3,FALSE)</f>
        <v>0</v>
      </c>
      <c r="AV58" s="72">
        <f>VLOOKUP($AS58,$AL$58:$AP$61,4,FALSE)</f>
        <v>0</v>
      </c>
      <c r="AW58" s="72">
        <f>VLOOKUP($AS58,$AL$58:$AP$61,5,FALSE)</f>
        <v>0</v>
      </c>
      <c r="AX58" s="177"/>
      <c r="AY58" s="182"/>
      <c r="AZ58" s="177"/>
      <c r="BA58" s="181"/>
      <c r="BB58" s="177"/>
      <c r="BC58" s="181"/>
      <c r="BD58" s="181"/>
      <c r="BE58" s="181"/>
      <c r="BF58" s="181"/>
      <c r="BG58" s="178"/>
      <c r="BH58" s="94"/>
      <c r="BI58" s="74"/>
      <c r="BJ58" s="49"/>
      <c r="BK58" s="49"/>
      <c r="BL58" s="49"/>
      <c r="BM58" s="49"/>
      <c r="BO58" s="87">
        <v>55</v>
      </c>
      <c r="BP58" s="16"/>
      <c r="BQ58" s="157"/>
      <c r="BR58" s="162"/>
    </row>
    <row r="59" spans="2:70" ht="14.25" customHeight="1" x14ac:dyDescent="0.25">
      <c r="B59" s="16">
        <v>16</v>
      </c>
      <c r="C59" s="95">
        <v>44889</v>
      </c>
      <c r="D59" s="84" t="s">
        <v>5</v>
      </c>
      <c r="E59" s="85" t="s">
        <v>6</v>
      </c>
      <c r="F59" s="86" t="s">
        <v>148</v>
      </c>
      <c r="G59" s="62"/>
      <c r="H59" s="87" t="s">
        <v>6</v>
      </c>
      <c r="I59" s="62"/>
      <c r="J59" s="64" t="str">
        <f t="shared" ref="J59:J63" si="120">IF(OR(ISBLANK(G59),ISBLANK(I59)),"",IF(G59&gt;I59,1,IF(G59&lt;I59,2,"X")))</f>
        <v/>
      </c>
      <c r="K59" s="2">
        <v>2</v>
      </c>
      <c r="L59" s="17" t="str">
        <f>VLOOKUP(K59,$AR$58:$AW$61,2,FALSE)</f>
        <v>Serbien</v>
      </c>
      <c r="M59" s="18">
        <f>VLOOKUP(L59,$AS$58:$AW$61,2,FALSE)</f>
        <v>0</v>
      </c>
      <c r="N59" s="18">
        <f>VLOOKUP(L59,$AS$58:$AW$61,3,FALSE)</f>
        <v>0</v>
      </c>
      <c r="O59" s="18">
        <f>VLOOKUP(L59,$AS$58:$AW$61,4,FALSE)</f>
        <v>0</v>
      </c>
      <c r="P59" s="19">
        <f>VLOOKUP(L59,$AS$58:$AW$61,5,FALSE)</f>
        <v>0</v>
      </c>
      <c r="X59" s="88" t="str">
        <f t="shared" ref="X59:X63" si="121">D59</f>
        <v>Brasilien</v>
      </c>
      <c r="Y59" s="89">
        <f t="shared" si="114"/>
        <v>0</v>
      </c>
      <c r="Z59" s="89">
        <f t="shared" si="115"/>
        <v>0</v>
      </c>
      <c r="AA59" s="89">
        <f t="shared" si="116"/>
        <v>0</v>
      </c>
      <c r="AB59" s="88" t="str">
        <f t="shared" ref="AB59:AB63" si="122">F59</f>
        <v>Serbien</v>
      </c>
      <c r="AC59" s="89">
        <f t="shared" si="117"/>
        <v>0</v>
      </c>
      <c r="AD59" s="73">
        <f t="shared" si="118"/>
        <v>0</v>
      </c>
      <c r="AE59" s="73">
        <f t="shared" si="119"/>
        <v>0</v>
      </c>
      <c r="AG59" s="72">
        <f>RANK($AH59,$AH$58:$AH$61,1)+COUNTIF($AH$58:$AH59,$AH59)-1</f>
        <v>2</v>
      </c>
      <c r="AH59" s="72">
        <f>AI59+AJ59+AK59</f>
        <v>1</v>
      </c>
      <c r="AI59" s="72">
        <f t="shared" ref="AI59:AI61" si="123">SUMPRODUCT(($AM$58:$AM$61=AM59)*($AP$58:$AP$61=AP59)*($AN$58:$AN$61&gt;AN59))</f>
        <v>0</v>
      </c>
      <c r="AJ59" s="72">
        <f t="shared" ref="AJ59:AJ61" si="124">SUMPRODUCT(($AM$58:$AM$61=AM59)*($AP$58:$AP$61&gt;AP59))</f>
        <v>0</v>
      </c>
      <c r="AK59" s="72">
        <f t="shared" ref="AK59:AK61" si="125">RANK(AM59,$AM$58:$AM$61)</f>
        <v>1</v>
      </c>
      <c r="AL59" s="88" t="s">
        <v>148</v>
      </c>
      <c r="AM59" s="72">
        <f t="shared" ref="AM59:AM61" si="126">SUMIF($X$58:$X$63,$AL59,$Y$58:$Y$63)+SUMIF($AB$58:$AB$63,$AL59,$AC$58:$AC$63)</f>
        <v>0</v>
      </c>
      <c r="AN59" s="72">
        <f t="shared" ref="AN59:AN61" si="127">SUMIF($X$58:$X$63,$AL59,$Z$58:$Z$63)+SUMIF($AB$58:$AB$63,$AL59,$AD$58:$AD$63)</f>
        <v>0</v>
      </c>
      <c r="AO59" s="72">
        <f t="shared" ref="AO59:AO61" si="128">SUMIF($X$58:$X$63,$AL59,$AA$58:$AA$63)+SUMIF($AB$58:$AB$63,$AL59,$AE$58:$AE$63)</f>
        <v>0</v>
      </c>
      <c r="AP59" s="72">
        <f t="shared" ref="AP59:AP61" si="129">AN59-AO59</f>
        <v>0</v>
      </c>
      <c r="AR59" s="72">
        <v>2</v>
      </c>
      <c r="AS59" s="72" t="str">
        <f t="shared" ref="AS59:AS61" si="130">VLOOKUP($AR59,$AG$58:$AP$61,6,FALSE)</f>
        <v>Serbien</v>
      </c>
      <c r="AT59" s="72">
        <f t="shared" ref="AT59:AT61" si="131">VLOOKUP($AS59,$AL$58:$AP$61,2,FALSE)</f>
        <v>0</v>
      </c>
      <c r="AU59" s="72">
        <f t="shared" ref="AU59:AU61" si="132">VLOOKUP($AS59,$AL$58:$AP$61,3,FALSE)</f>
        <v>0</v>
      </c>
      <c r="AV59" s="72">
        <f t="shared" ref="AV59:AV61" si="133">VLOOKUP($AS59,$AL$58:$AP$61,4,FALSE)</f>
        <v>0</v>
      </c>
      <c r="AW59" s="72">
        <f t="shared" ref="AW59:AW61" si="134">VLOOKUP($AS59,$AL$58:$AP$61,5,FALSE)</f>
        <v>0</v>
      </c>
      <c r="AX59" s="177"/>
      <c r="AY59" s="182"/>
      <c r="AZ59" s="177"/>
      <c r="BA59" s="181"/>
      <c r="BB59" s="177"/>
      <c r="BC59" s="181"/>
      <c r="BD59" s="181"/>
      <c r="BE59" s="181"/>
      <c r="BF59" s="181"/>
      <c r="BG59" s="178"/>
      <c r="BI59" s="74"/>
      <c r="BJ59" s="49"/>
      <c r="BK59" s="49"/>
      <c r="BL59" s="49"/>
      <c r="BM59" s="49"/>
      <c r="BO59" s="87">
        <v>56</v>
      </c>
      <c r="BP59" s="16"/>
      <c r="BQ59" s="157"/>
      <c r="BR59" s="162"/>
    </row>
    <row r="60" spans="2:70" ht="14.25" customHeight="1" x14ac:dyDescent="0.25">
      <c r="B60" s="16">
        <v>29</v>
      </c>
      <c r="C60" s="95">
        <v>44893</v>
      </c>
      <c r="D60" s="84" t="s">
        <v>11</v>
      </c>
      <c r="E60" s="85" t="s">
        <v>6</v>
      </c>
      <c r="F60" s="86" t="s">
        <v>148</v>
      </c>
      <c r="G60" s="62"/>
      <c r="H60" s="87" t="s">
        <v>6</v>
      </c>
      <c r="I60" s="62"/>
      <c r="J60" s="64" t="str">
        <f t="shared" si="120"/>
        <v/>
      </c>
      <c r="K60" s="2">
        <v>3</v>
      </c>
      <c r="L60" s="137" t="str">
        <f>VLOOKUP(K60,$AR$58:$AW$61,2,FALSE)</f>
        <v>Schweiz</v>
      </c>
      <c r="M60" s="32">
        <f>VLOOKUP(L60,$AS$58:$AW$61,2,FALSE)</f>
        <v>0</v>
      </c>
      <c r="N60" s="32">
        <f>VLOOKUP(L60,$AS$58:$AW$61,3,FALSE)</f>
        <v>0</v>
      </c>
      <c r="O60" s="32">
        <f>VLOOKUP(L60,$AS$58:$AW$61,4,FALSE)</f>
        <v>0</v>
      </c>
      <c r="P60" s="33">
        <f>VLOOKUP(L60,$AS$58:$AW$61,5,FALSE)</f>
        <v>0</v>
      </c>
      <c r="X60" s="88" t="str">
        <f t="shared" si="121"/>
        <v>Kamerun</v>
      </c>
      <c r="Y60" s="89">
        <f t="shared" si="114"/>
        <v>0</v>
      </c>
      <c r="Z60" s="89">
        <f t="shared" si="115"/>
        <v>0</v>
      </c>
      <c r="AA60" s="89">
        <f t="shared" si="116"/>
        <v>0</v>
      </c>
      <c r="AB60" s="88" t="str">
        <f t="shared" si="122"/>
        <v>Serbien</v>
      </c>
      <c r="AC60" s="89">
        <f t="shared" si="117"/>
        <v>0</v>
      </c>
      <c r="AD60" s="73">
        <f t="shared" si="118"/>
        <v>0</v>
      </c>
      <c r="AE60" s="73">
        <f t="shared" si="119"/>
        <v>0</v>
      </c>
      <c r="AG60" s="72">
        <f>RANK($AH60,$AH$58:$AH$61,1)+COUNTIF($AH$58:$AH60,$AH60)-1</f>
        <v>3</v>
      </c>
      <c r="AH60" s="72">
        <f>AI60+AJ60+AK60</f>
        <v>1</v>
      </c>
      <c r="AI60" s="72">
        <f t="shared" si="123"/>
        <v>0</v>
      </c>
      <c r="AJ60" s="72">
        <f t="shared" si="124"/>
        <v>0</v>
      </c>
      <c r="AK60" s="72">
        <f t="shared" si="125"/>
        <v>1</v>
      </c>
      <c r="AL60" s="88" t="s">
        <v>56</v>
      </c>
      <c r="AM60" s="72">
        <f t="shared" si="126"/>
        <v>0</v>
      </c>
      <c r="AN60" s="72">
        <f t="shared" si="127"/>
        <v>0</v>
      </c>
      <c r="AO60" s="72">
        <f t="shared" si="128"/>
        <v>0</v>
      </c>
      <c r="AP60" s="72">
        <f t="shared" si="129"/>
        <v>0</v>
      </c>
      <c r="AR60" s="72">
        <v>3</v>
      </c>
      <c r="AS60" s="72" t="str">
        <f t="shared" si="130"/>
        <v>Schweiz</v>
      </c>
      <c r="AT60" s="72">
        <f t="shared" si="131"/>
        <v>0</v>
      </c>
      <c r="AU60" s="72">
        <f t="shared" si="132"/>
        <v>0</v>
      </c>
      <c r="AV60" s="72">
        <f t="shared" si="133"/>
        <v>0</v>
      </c>
      <c r="AW60" s="72">
        <f t="shared" si="134"/>
        <v>0</v>
      </c>
      <c r="AX60" s="177"/>
      <c r="AY60" s="182"/>
      <c r="AZ60" s="177"/>
      <c r="BA60" s="181"/>
      <c r="BB60" s="177"/>
      <c r="BC60" s="181"/>
      <c r="BD60" s="181"/>
      <c r="BE60" s="181"/>
      <c r="BF60" s="181"/>
      <c r="BG60" s="178"/>
      <c r="BI60" s="45"/>
      <c r="BJ60" s="49"/>
      <c r="BK60" s="49"/>
      <c r="BL60" s="49"/>
      <c r="BM60" s="49"/>
      <c r="BO60" s="87">
        <v>57</v>
      </c>
      <c r="BP60" s="16"/>
      <c r="BQ60" s="157"/>
      <c r="BR60" s="162"/>
    </row>
    <row r="61" spans="2:70" ht="14.25" customHeight="1" x14ac:dyDescent="0.25">
      <c r="B61" s="16">
        <v>31</v>
      </c>
      <c r="C61" s="95">
        <v>44893</v>
      </c>
      <c r="D61" s="84" t="s">
        <v>5</v>
      </c>
      <c r="E61" s="85" t="s">
        <v>6</v>
      </c>
      <c r="F61" s="86" t="s">
        <v>56</v>
      </c>
      <c r="G61" s="62"/>
      <c r="H61" s="87" t="s">
        <v>6</v>
      </c>
      <c r="I61" s="62"/>
      <c r="J61" s="64" t="str">
        <f t="shared" si="120"/>
        <v/>
      </c>
      <c r="K61" s="2">
        <v>4</v>
      </c>
      <c r="L61" s="21" t="str">
        <f>VLOOKUP(K61,$AR$58:$AW$61,2,FALSE)</f>
        <v>Kamerun</v>
      </c>
      <c r="M61" s="18">
        <f>VLOOKUP(L61,$AS$58:$AW$61,2,FALSE)</f>
        <v>0</v>
      </c>
      <c r="N61" s="18">
        <f>VLOOKUP(L61,$AS$58:$AW$61,3,FALSE)</f>
        <v>0</v>
      </c>
      <c r="O61" s="18">
        <f>VLOOKUP(L61,$AS$58:$AW$61,4,FALSE)</f>
        <v>0</v>
      </c>
      <c r="P61" s="19">
        <f>VLOOKUP(L61,$AS$58:$AW$61,5,FALSE)</f>
        <v>0</v>
      </c>
      <c r="X61" s="88" t="str">
        <f t="shared" si="121"/>
        <v>Brasilien</v>
      </c>
      <c r="Y61" s="89">
        <f t="shared" si="114"/>
        <v>0</v>
      </c>
      <c r="Z61" s="89">
        <f t="shared" si="115"/>
        <v>0</v>
      </c>
      <c r="AA61" s="89">
        <f t="shared" si="116"/>
        <v>0</v>
      </c>
      <c r="AB61" s="88" t="str">
        <f t="shared" si="122"/>
        <v>Schweiz</v>
      </c>
      <c r="AC61" s="89">
        <f t="shared" si="117"/>
        <v>0</v>
      </c>
      <c r="AD61" s="73">
        <f t="shared" si="118"/>
        <v>0</v>
      </c>
      <c r="AE61" s="73">
        <f t="shared" si="119"/>
        <v>0</v>
      </c>
      <c r="AG61" s="72">
        <f>RANK($AH61,$AH$58:$AH$61,1)+COUNTIF($AH$58:$AH61,$AH61)-1</f>
        <v>4</v>
      </c>
      <c r="AH61" s="72">
        <f>AI61+AJ61+AK61</f>
        <v>1</v>
      </c>
      <c r="AI61" s="72">
        <f t="shared" si="123"/>
        <v>0</v>
      </c>
      <c r="AJ61" s="72">
        <f t="shared" si="124"/>
        <v>0</v>
      </c>
      <c r="AK61" s="72">
        <f t="shared" si="125"/>
        <v>1</v>
      </c>
      <c r="AL61" s="88" t="s">
        <v>11</v>
      </c>
      <c r="AM61" s="72">
        <f t="shared" si="126"/>
        <v>0</v>
      </c>
      <c r="AN61" s="72">
        <f t="shared" si="127"/>
        <v>0</v>
      </c>
      <c r="AO61" s="72">
        <f t="shared" si="128"/>
        <v>0</v>
      </c>
      <c r="AP61" s="72">
        <f t="shared" si="129"/>
        <v>0</v>
      </c>
      <c r="AR61" s="72">
        <v>4</v>
      </c>
      <c r="AS61" s="72" t="str">
        <f t="shared" si="130"/>
        <v>Kamerun</v>
      </c>
      <c r="AT61" s="72">
        <f t="shared" si="131"/>
        <v>0</v>
      </c>
      <c r="AU61" s="72">
        <f t="shared" si="132"/>
        <v>0</v>
      </c>
      <c r="AV61" s="72">
        <f t="shared" si="133"/>
        <v>0</v>
      </c>
      <c r="AW61" s="72">
        <f t="shared" si="134"/>
        <v>0</v>
      </c>
      <c r="AX61" s="177"/>
      <c r="AY61" s="182"/>
      <c r="AZ61" s="177"/>
      <c r="BA61" s="181"/>
      <c r="BB61" s="177"/>
      <c r="BC61" s="181"/>
      <c r="BD61" s="181"/>
      <c r="BE61" s="181"/>
      <c r="BF61" s="181"/>
      <c r="BG61" s="178"/>
      <c r="BI61" s="45"/>
      <c r="BJ61" s="49"/>
      <c r="BK61" s="49"/>
      <c r="BL61" s="49"/>
      <c r="BM61" s="49"/>
      <c r="BO61" s="87">
        <v>58</v>
      </c>
      <c r="BP61" s="16"/>
      <c r="BQ61" s="157"/>
      <c r="BR61" s="162"/>
    </row>
    <row r="62" spans="2:70" ht="14.25" customHeight="1" x14ac:dyDescent="0.25">
      <c r="B62" s="16">
        <v>47</v>
      </c>
      <c r="C62" s="95">
        <v>44897</v>
      </c>
      <c r="D62" s="84" t="s">
        <v>148</v>
      </c>
      <c r="E62" s="85" t="s">
        <v>6</v>
      </c>
      <c r="F62" s="86" t="s">
        <v>56</v>
      </c>
      <c r="G62" s="62"/>
      <c r="H62" s="87" t="s">
        <v>6</v>
      </c>
      <c r="I62" s="62"/>
      <c r="J62" s="64" t="str">
        <f t="shared" si="120"/>
        <v/>
      </c>
      <c r="L62" s="187">
        <f>COUNTBLANK(G58:G63)+COUNTBLANK(I58:I63)</f>
        <v>12</v>
      </c>
      <c r="M62" s="23"/>
      <c r="N62" s="35"/>
      <c r="O62" s="23"/>
      <c r="P62" s="23"/>
      <c r="X62" s="88" t="str">
        <f t="shared" si="121"/>
        <v>Serbien</v>
      </c>
      <c r="Y62" s="89">
        <f t="shared" si="114"/>
        <v>0</v>
      </c>
      <c r="Z62" s="89">
        <f t="shared" si="115"/>
        <v>0</v>
      </c>
      <c r="AA62" s="89">
        <f t="shared" si="116"/>
        <v>0</v>
      </c>
      <c r="AB62" s="88" t="str">
        <f t="shared" si="122"/>
        <v>Schweiz</v>
      </c>
      <c r="AC62" s="89">
        <f t="shared" si="117"/>
        <v>0</v>
      </c>
      <c r="AD62" s="73">
        <f t="shared" si="118"/>
        <v>0</v>
      </c>
      <c r="AE62" s="73">
        <f t="shared" si="119"/>
        <v>0</v>
      </c>
      <c r="AX62" s="177"/>
      <c r="AY62" s="182"/>
      <c r="AZ62" s="177"/>
      <c r="BA62" s="181"/>
      <c r="BB62" s="177"/>
      <c r="BC62" s="181"/>
      <c r="BD62" s="181"/>
      <c r="BE62" s="181"/>
      <c r="BF62" s="181"/>
      <c r="BG62" s="178"/>
      <c r="BJ62" s="49"/>
      <c r="BK62" s="46"/>
      <c r="BL62" s="49"/>
      <c r="BM62" s="49"/>
      <c r="BO62" s="87">
        <v>59</v>
      </c>
      <c r="BP62" s="16"/>
      <c r="BQ62" s="157"/>
      <c r="BR62" s="162"/>
    </row>
    <row r="63" spans="2:70" ht="14.25" customHeight="1" x14ac:dyDescent="0.25">
      <c r="B63" s="16">
        <v>48</v>
      </c>
      <c r="C63" s="95">
        <v>44897</v>
      </c>
      <c r="D63" s="84" t="s">
        <v>11</v>
      </c>
      <c r="E63" s="85" t="s">
        <v>6</v>
      </c>
      <c r="F63" s="86" t="s">
        <v>5</v>
      </c>
      <c r="G63" s="62"/>
      <c r="H63" s="87" t="s">
        <v>6</v>
      </c>
      <c r="I63" s="62"/>
      <c r="J63" s="64" t="str">
        <f t="shared" si="120"/>
        <v/>
      </c>
      <c r="M63" s="23"/>
      <c r="N63" s="35"/>
      <c r="O63" s="23"/>
      <c r="P63" s="23"/>
      <c r="X63" s="88" t="str">
        <f t="shared" si="121"/>
        <v>Kamerun</v>
      </c>
      <c r="Y63" s="89">
        <f t="shared" si="114"/>
        <v>0</v>
      </c>
      <c r="Z63" s="89">
        <f t="shared" si="115"/>
        <v>0</v>
      </c>
      <c r="AA63" s="89">
        <f t="shared" si="116"/>
        <v>0</v>
      </c>
      <c r="AB63" s="88" t="str">
        <f t="shared" si="122"/>
        <v>Brasilien</v>
      </c>
      <c r="AC63" s="89">
        <f t="shared" si="117"/>
        <v>0</v>
      </c>
      <c r="AD63" s="73">
        <f t="shared" si="118"/>
        <v>0</v>
      </c>
      <c r="AE63" s="73">
        <f t="shared" si="119"/>
        <v>0</v>
      </c>
      <c r="AX63" s="177"/>
      <c r="AY63" s="182"/>
      <c r="AZ63" s="177"/>
      <c r="BA63" s="181"/>
      <c r="BB63" s="177"/>
      <c r="BC63" s="181"/>
      <c r="BD63" s="181"/>
      <c r="BE63" s="181"/>
      <c r="BF63" s="181"/>
      <c r="BG63" s="178"/>
      <c r="BJ63" s="49"/>
      <c r="BK63" s="46"/>
      <c r="BL63" s="49"/>
      <c r="BM63" s="49"/>
      <c r="BO63" s="87">
        <v>60</v>
      </c>
      <c r="BP63" s="16"/>
      <c r="BQ63" s="157"/>
      <c r="BR63" s="162"/>
    </row>
    <row r="64" spans="2:70" ht="14.25" customHeight="1" x14ac:dyDescent="0.25">
      <c r="C64" s="38"/>
      <c r="F64" s="117"/>
      <c r="J64" s="24"/>
      <c r="M64" s="23"/>
      <c r="N64" s="35"/>
      <c r="O64" s="23"/>
      <c r="P64" s="23"/>
      <c r="AX64" s="177"/>
      <c r="AY64" s="182"/>
      <c r="AZ64" s="177"/>
      <c r="BA64" s="181"/>
      <c r="BB64" s="177"/>
      <c r="BC64" s="181"/>
      <c r="BD64" s="181"/>
      <c r="BE64" s="181"/>
      <c r="BF64" s="181"/>
      <c r="BG64" s="178"/>
      <c r="BJ64" s="49"/>
      <c r="BK64" s="46"/>
      <c r="BL64" s="49"/>
      <c r="BM64" s="49"/>
      <c r="BO64" s="87">
        <v>61</v>
      </c>
      <c r="BP64" s="16"/>
      <c r="BQ64" s="157"/>
      <c r="BR64" s="162"/>
    </row>
    <row r="65" spans="2:70" s="26" customFormat="1" ht="14.25" customHeight="1" x14ac:dyDescent="0.25">
      <c r="B65" s="6" t="s">
        <v>67</v>
      </c>
      <c r="C65" s="104"/>
      <c r="D65" s="68"/>
      <c r="E65" s="27"/>
      <c r="F65" s="68"/>
      <c r="G65" s="27"/>
      <c r="H65" s="27"/>
      <c r="I65" s="27"/>
      <c r="J65" s="24"/>
      <c r="K65" s="25"/>
      <c r="M65" s="27"/>
      <c r="N65" s="36"/>
      <c r="O65" s="27"/>
      <c r="P65" s="27"/>
      <c r="R65" s="27"/>
      <c r="S65" s="27"/>
      <c r="T65" s="27"/>
      <c r="U65" s="27"/>
      <c r="V65" s="122"/>
      <c r="X65" s="70"/>
      <c r="Y65" s="89"/>
      <c r="Z65" s="89"/>
      <c r="AA65" s="89"/>
      <c r="AB65" s="70"/>
      <c r="AC65" s="107"/>
      <c r="AD65" s="108"/>
      <c r="AE65" s="108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75"/>
      <c r="AY65" s="183"/>
      <c r="AZ65" s="175"/>
      <c r="BA65" s="179"/>
      <c r="BB65" s="175"/>
      <c r="BC65" s="179"/>
      <c r="BD65" s="179"/>
      <c r="BE65" s="179"/>
      <c r="BF65" s="179"/>
      <c r="BG65" s="179"/>
      <c r="BH65" s="110"/>
      <c r="BI65" s="1"/>
      <c r="BJ65" s="24"/>
      <c r="BK65" s="123"/>
      <c r="BL65" s="24"/>
      <c r="BM65" s="24"/>
      <c r="BO65" s="87">
        <v>62</v>
      </c>
      <c r="BP65" s="16"/>
      <c r="BQ65" s="157"/>
      <c r="BR65" s="162"/>
    </row>
    <row r="66" spans="2:70" s="26" customFormat="1" ht="14.25" customHeight="1" x14ac:dyDescent="0.25">
      <c r="B66" s="119" t="s">
        <v>2</v>
      </c>
      <c r="C66" s="112" t="s">
        <v>3</v>
      </c>
      <c r="D66" s="207" t="s">
        <v>2</v>
      </c>
      <c r="E66" s="208"/>
      <c r="F66" s="209"/>
      <c r="G66" s="208" t="s">
        <v>4</v>
      </c>
      <c r="H66" s="208"/>
      <c r="I66" s="208"/>
      <c r="J66" s="28" t="s">
        <v>69</v>
      </c>
      <c r="K66" s="25"/>
      <c r="L66" s="8" t="s">
        <v>67</v>
      </c>
      <c r="M66" s="9" t="s">
        <v>75</v>
      </c>
      <c r="N66" s="9" t="s">
        <v>76</v>
      </c>
      <c r="O66" s="9" t="s">
        <v>77</v>
      </c>
      <c r="P66" s="10" t="s">
        <v>87</v>
      </c>
      <c r="R66" s="27"/>
      <c r="S66" s="27"/>
      <c r="T66" s="27"/>
      <c r="U66" s="27"/>
      <c r="V66" s="122"/>
      <c r="X66" s="81" t="s">
        <v>73</v>
      </c>
      <c r="Y66" s="81" t="s">
        <v>75</v>
      </c>
      <c r="Z66" s="81" t="s">
        <v>76</v>
      </c>
      <c r="AA66" s="81" t="s">
        <v>77</v>
      </c>
      <c r="AB66" s="81" t="s">
        <v>74</v>
      </c>
      <c r="AC66" s="81" t="s">
        <v>75</v>
      </c>
      <c r="AD66" s="81" t="s">
        <v>76</v>
      </c>
      <c r="AE66" s="81" t="s">
        <v>77</v>
      </c>
      <c r="AF66" s="107"/>
      <c r="AG66" s="82" t="s">
        <v>85</v>
      </c>
      <c r="AH66" s="82" t="s">
        <v>84</v>
      </c>
      <c r="AI66" s="82" t="s">
        <v>83</v>
      </c>
      <c r="AJ66" s="81" t="s">
        <v>82</v>
      </c>
      <c r="AK66" s="81" t="s">
        <v>81</v>
      </c>
      <c r="AL66" s="81" t="s">
        <v>78</v>
      </c>
      <c r="AM66" s="81" t="s">
        <v>75</v>
      </c>
      <c r="AN66" s="81" t="s">
        <v>76</v>
      </c>
      <c r="AO66" s="81" t="s">
        <v>77</v>
      </c>
      <c r="AP66" s="82" t="s">
        <v>79</v>
      </c>
      <c r="AQ66" s="107"/>
      <c r="AR66" s="81" t="s">
        <v>80</v>
      </c>
      <c r="AS66" s="81" t="s">
        <v>78</v>
      </c>
      <c r="AT66" s="81" t="s">
        <v>75</v>
      </c>
      <c r="AU66" s="81" t="s">
        <v>76</v>
      </c>
      <c r="AV66" s="81" t="s">
        <v>77</v>
      </c>
      <c r="AW66" s="82" t="s">
        <v>79</v>
      </c>
      <c r="AX66" s="175"/>
      <c r="AY66" s="175"/>
      <c r="AZ66" s="179"/>
      <c r="BA66" s="179"/>
      <c r="BB66" s="179"/>
      <c r="BC66" s="206"/>
      <c r="BD66" s="206"/>
      <c r="BE66" s="206"/>
      <c r="BF66" s="179"/>
      <c r="BG66" s="179"/>
      <c r="BH66" s="110"/>
      <c r="BI66" s="114"/>
      <c r="BJ66" s="24"/>
      <c r="BK66" s="24"/>
      <c r="BL66" s="24"/>
      <c r="BM66" s="24"/>
      <c r="BO66" s="87">
        <v>63</v>
      </c>
      <c r="BP66" s="16"/>
      <c r="BQ66" s="157"/>
      <c r="BR66" s="162"/>
    </row>
    <row r="67" spans="2:70" ht="14.25" customHeight="1" x14ac:dyDescent="0.25">
      <c r="B67" s="16">
        <v>14</v>
      </c>
      <c r="C67" s="95">
        <v>44889</v>
      </c>
      <c r="D67" s="84" t="s">
        <v>50</v>
      </c>
      <c r="E67" s="85" t="s">
        <v>6</v>
      </c>
      <c r="F67" s="86" t="s">
        <v>162</v>
      </c>
      <c r="G67" s="62"/>
      <c r="H67" s="87" t="s">
        <v>6</v>
      </c>
      <c r="I67" s="62"/>
      <c r="J67" s="64" t="str">
        <f>IF(OR(ISBLANK(G67),ISBLANK(I67)),"",IF(G67&gt;I67,1,IF(G67&lt;I67,2,"X")))</f>
        <v/>
      </c>
      <c r="K67" s="12">
        <v>1</v>
      </c>
      <c r="L67" s="13" t="str">
        <f>VLOOKUP(K67,$AR$67:$AW$70,2,FALSE)</f>
        <v>Portugal</v>
      </c>
      <c r="M67" s="14">
        <f>VLOOKUP(L67,$AS$67:$AW$70,2,FALSE)</f>
        <v>0</v>
      </c>
      <c r="N67" s="14">
        <f>VLOOKUP(L67,$AS$67:$AW$70,3,FALSE)</f>
        <v>0</v>
      </c>
      <c r="O67" s="14">
        <f>VLOOKUP(L67,$AS$67:$AW$70,4,FALSE)</f>
        <v>0</v>
      </c>
      <c r="P67" s="15">
        <f>VLOOKUP(L67,$AS$67:$AW$70,5,FALSE)</f>
        <v>0</v>
      </c>
      <c r="X67" s="88" t="str">
        <f>D67</f>
        <v>Uruguay</v>
      </c>
      <c r="Y67" s="89">
        <f t="shared" ref="Y67:Y72" si="135">IF(G67="",0,IF($G67&lt;$I67,0,IF($G67=$I67,1,3)))</f>
        <v>0</v>
      </c>
      <c r="Z67" s="89">
        <f t="shared" ref="Z67:Z72" si="136">G67</f>
        <v>0</v>
      </c>
      <c r="AA67" s="89">
        <f t="shared" ref="AA67:AA72" si="137">I67</f>
        <v>0</v>
      </c>
      <c r="AB67" s="88" t="str">
        <f>F67</f>
        <v>Korea</v>
      </c>
      <c r="AC67" s="89">
        <f t="shared" ref="AC67:AC72" si="138">IF(I67="",0,IF(I67&lt;G67,0,IF(I67=G67,1,3)))</f>
        <v>0</v>
      </c>
      <c r="AD67" s="73">
        <f t="shared" ref="AD67:AD72" si="139">I67</f>
        <v>0</v>
      </c>
      <c r="AE67" s="73">
        <f t="shared" ref="AE67:AE72" si="140">G67</f>
        <v>0</v>
      </c>
      <c r="AG67" s="72">
        <f>RANK($AH67,$AH$67:$AH$70,1)+COUNTIF($AH$67:$AH67,$AH67)-1</f>
        <v>1</v>
      </c>
      <c r="AH67" s="72">
        <f>AI67+AJ67+AK67</f>
        <v>1</v>
      </c>
      <c r="AI67" s="72">
        <f>SUMPRODUCT(($AM$67:$AM$70=AM67)*($AP$67:$AP$70=AP67)*($AN$67:$AN$70&gt;AN67))</f>
        <v>0</v>
      </c>
      <c r="AJ67" s="72">
        <f>SUMPRODUCT(($AM$67:$AM$70=AM67)*($AP$67:$AP$70&gt;AP67))</f>
        <v>0</v>
      </c>
      <c r="AK67" s="72">
        <f>RANK(AM67,$AM$67:$AM$70)</f>
        <v>1</v>
      </c>
      <c r="AL67" s="88" t="s">
        <v>64</v>
      </c>
      <c r="AM67" s="72">
        <f>SUMIF($X$67:$X$72,$AL67,$Y$67:$Y$72)+SUMIF($AB$67:$AB$72,$AL67,$AC$67:$AC$72)</f>
        <v>0</v>
      </c>
      <c r="AN67" s="72">
        <f>SUMIF($X$67:$X$72,$AL67,$Z$67:$Z$72)+SUMIF($AB$67:$AB$72,$AL67,$AD$67:$AD$72)</f>
        <v>0</v>
      </c>
      <c r="AO67" s="72">
        <f>SUMIF($X$67:$X$72,$AL67,$AA$67:$AA$72)+SUMIF($AB$67:$AB$72,$AL67,$AE$67:$AE$72)</f>
        <v>0</v>
      </c>
      <c r="AP67" s="72">
        <f>AN67-AO67</f>
        <v>0</v>
      </c>
      <c r="AR67" s="72">
        <v>1</v>
      </c>
      <c r="AS67" s="72" t="str">
        <f>VLOOKUP($AR67,$AG$67:$AP$70,6,FALSE)</f>
        <v>Portugal</v>
      </c>
      <c r="AT67" s="72">
        <f>VLOOKUP($AS67,$AL$67:$AP$70,2,FALSE)</f>
        <v>0</v>
      </c>
      <c r="AU67" s="72">
        <f>VLOOKUP($AS67,$AL$67:$AP$70,3,FALSE)</f>
        <v>0</v>
      </c>
      <c r="AV67" s="72">
        <f>VLOOKUP($AS67,$AL$67:$AP$70,4,FALSE)</f>
        <v>0</v>
      </c>
      <c r="AW67" s="72">
        <f>VLOOKUP($AS67,$AL$67:$AP$70,5,FALSE)</f>
        <v>0</v>
      </c>
      <c r="AX67" s="177"/>
      <c r="AY67" s="182"/>
      <c r="AZ67" s="177"/>
      <c r="BA67" s="181"/>
      <c r="BB67" s="177"/>
      <c r="BC67" s="181"/>
      <c r="BD67" s="181"/>
      <c r="BE67" s="181"/>
      <c r="BF67" s="181"/>
      <c r="BG67" s="178"/>
      <c r="BH67" s="94"/>
      <c r="BI67" s="74"/>
      <c r="BJ67" s="49"/>
      <c r="BK67" s="49"/>
      <c r="BL67" s="49"/>
      <c r="BM67" s="49"/>
      <c r="BO67" s="87">
        <v>64</v>
      </c>
      <c r="BP67" s="16"/>
      <c r="BQ67" s="157"/>
      <c r="BR67" s="162"/>
    </row>
    <row r="68" spans="2:70" ht="14.25" customHeight="1" x14ac:dyDescent="0.25">
      <c r="B68" s="16">
        <v>15</v>
      </c>
      <c r="C68" s="95">
        <v>44889</v>
      </c>
      <c r="D68" s="84" t="s">
        <v>64</v>
      </c>
      <c r="E68" s="85" t="s">
        <v>6</v>
      </c>
      <c r="F68" s="86" t="s">
        <v>65</v>
      </c>
      <c r="G68" s="62"/>
      <c r="H68" s="87" t="s">
        <v>6</v>
      </c>
      <c r="I68" s="62"/>
      <c r="J68" s="64" t="str">
        <f t="shared" ref="J68:J72" si="141">IF(OR(ISBLANK(G68),ISBLANK(I68)),"",IF(G68&gt;I68,1,IF(G68&lt;I68,2,"X")))</f>
        <v/>
      </c>
      <c r="K68" s="2">
        <v>2</v>
      </c>
      <c r="L68" s="17" t="str">
        <f>VLOOKUP(K68,$AR$67:$AW$70,2,FALSE)</f>
        <v>Ghana</v>
      </c>
      <c r="M68" s="18">
        <f>VLOOKUP(L68,$AS$67:$AW$70,2,FALSE)</f>
        <v>0</v>
      </c>
      <c r="N68" s="18">
        <f>VLOOKUP(L68,$AS$67:$AW$70,3,FALSE)</f>
        <v>0</v>
      </c>
      <c r="O68" s="18">
        <f>VLOOKUP(L68,$AS$67:$AW$70,4,FALSE)</f>
        <v>0</v>
      </c>
      <c r="P68" s="19">
        <f>VLOOKUP(L68,$AS$67:$AW$70,5,FALSE)</f>
        <v>0</v>
      </c>
      <c r="X68" s="88" t="str">
        <f t="shared" ref="X68:X72" si="142">D68</f>
        <v>Portugal</v>
      </c>
      <c r="Y68" s="89">
        <f t="shared" si="135"/>
        <v>0</v>
      </c>
      <c r="Z68" s="89">
        <f t="shared" si="136"/>
        <v>0</v>
      </c>
      <c r="AA68" s="89">
        <f t="shared" si="137"/>
        <v>0</v>
      </c>
      <c r="AB68" s="88" t="str">
        <f t="shared" ref="AB68:AB72" si="143">F68</f>
        <v>Ghana</v>
      </c>
      <c r="AC68" s="89">
        <f t="shared" si="138"/>
        <v>0</v>
      </c>
      <c r="AD68" s="73">
        <f t="shared" si="139"/>
        <v>0</v>
      </c>
      <c r="AE68" s="73">
        <f t="shared" si="140"/>
        <v>0</v>
      </c>
      <c r="AG68" s="72">
        <f>RANK($AH68,$AH$67:$AH$70,1)+COUNTIF($AH$67:$AH68,$AH68)-1</f>
        <v>2</v>
      </c>
      <c r="AH68" s="72">
        <f>AI68+AJ68+AK68</f>
        <v>1</v>
      </c>
      <c r="AI68" s="72">
        <f t="shared" ref="AI68:AI70" si="144">SUMPRODUCT(($AM$67:$AM$70=AM68)*($AP$67:$AP$70=AP68)*($AN$67:$AN$70&gt;AN68))</f>
        <v>0</v>
      </c>
      <c r="AJ68" s="72">
        <f t="shared" ref="AJ68:AJ70" si="145">SUMPRODUCT(($AM$67:$AM$70=AM68)*($AP$67:$AP$70&gt;AP68))</f>
        <v>0</v>
      </c>
      <c r="AK68" s="72">
        <f t="shared" ref="AK68:AK70" si="146">RANK(AM68,$AM$67:$AM$70)</f>
        <v>1</v>
      </c>
      <c r="AL68" s="88" t="s">
        <v>65</v>
      </c>
      <c r="AM68" s="72">
        <f t="shared" ref="AM68:AM70" si="147">SUMIF($X$67:$X$72,$AL68,$Y$67:$Y$72)+SUMIF($AB$67:$AB$72,$AL68,$AC$67:$AC$72)</f>
        <v>0</v>
      </c>
      <c r="AN68" s="72">
        <f t="shared" ref="AN68:AN70" si="148">SUMIF($X$67:$X$72,$AL68,$Z$67:$Z$72)+SUMIF($AB$67:$AB$72,$AL68,$AD$67:$AD$72)</f>
        <v>0</v>
      </c>
      <c r="AO68" s="72">
        <f t="shared" ref="AO68:AO70" si="149">SUMIF($X$67:$X$72,$AL68,$AA$67:$AA$72)+SUMIF($AB$67:$AB$72,$AL68,$AE$67:$AE$72)</f>
        <v>0</v>
      </c>
      <c r="AP68" s="72">
        <f t="shared" ref="AP68:AP70" si="150">AN68-AO68</f>
        <v>0</v>
      </c>
      <c r="AR68" s="72">
        <v>2</v>
      </c>
      <c r="AS68" s="72" t="str">
        <f t="shared" ref="AS68:AS70" si="151">VLOOKUP($AR68,$AG$67:$AP$70,6,FALSE)</f>
        <v>Ghana</v>
      </c>
      <c r="AT68" s="72">
        <f t="shared" ref="AT68:AT70" si="152">VLOOKUP($AS68,$AL$67:$AP$70,2,FALSE)</f>
        <v>0</v>
      </c>
      <c r="AU68" s="72">
        <f t="shared" ref="AU68:AU70" si="153">VLOOKUP($AS68,$AL$67:$AP$70,3,FALSE)</f>
        <v>0</v>
      </c>
      <c r="AV68" s="72">
        <f t="shared" ref="AV68:AV70" si="154">VLOOKUP($AS68,$AL$67:$AP$70,4,FALSE)</f>
        <v>0</v>
      </c>
      <c r="AW68" s="72">
        <f t="shared" ref="AW68:AW70" si="155">VLOOKUP($AS68,$AL$67:$AP$70,5,FALSE)</f>
        <v>0</v>
      </c>
      <c r="AX68" s="177"/>
      <c r="AY68" s="182"/>
      <c r="AZ68" s="177"/>
      <c r="BA68" s="181"/>
      <c r="BB68" s="177"/>
      <c r="BC68" s="181"/>
      <c r="BD68" s="181"/>
      <c r="BE68" s="181"/>
      <c r="BF68" s="181"/>
      <c r="BG68" s="178"/>
      <c r="BI68" s="74"/>
      <c r="BJ68" s="49"/>
      <c r="BK68" s="49"/>
      <c r="BL68" s="49"/>
      <c r="BM68" s="49"/>
      <c r="BO68" s="87">
        <v>65</v>
      </c>
      <c r="BP68" s="16"/>
      <c r="BQ68" s="157"/>
      <c r="BR68" s="162"/>
    </row>
    <row r="69" spans="2:70" ht="14.25" customHeight="1" x14ac:dyDescent="0.25">
      <c r="B69" s="16">
        <v>30</v>
      </c>
      <c r="C69" s="95">
        <v>44893</v>
      </c>
      <c r="D69" s="84" t="s">
        <v>162</v>
      </c>
      <c r="E69" s="85" t="s">
        <v>6</v>
      </c>
      <c r="F69" s="86" t="s">
        <v>65</v>
      </c>
      <c r="G69" s="62"/>
      <c r="H69" s="87" t="s">
        <v>6</v>
      </c>
      <c r="I69" s="62"/>
      <c r="J69" s="64" t="str">
        <f t="shared" si="141"/>
        <v/>
      </c>
      <c r="K69" s="2">
        <v>3</v>
      </c>
      <c r="L69" s="137" t="str">
        <f>VLOOKUP(K69,$AR$67:$AW$70,2,FALSE)</f>
        <v>Uruguay</v>
      </c>
      <c r="M69" s="32">
        <f>VLOOKUP(L69,$AS$67:$AW$70,2,FALSE)</f>
        <v>0</v>
      </c>
      <c r="N69" s="32">
        <f>VLOOKUP(L69,$AS$67:$AW$70,3,FALSE)</f>
        <v>0</v>
      </c>
      <c r="O69" s="32">
        <f>VLOOKUP(L69,$AS$67:$AW$70,4,FALSE)</f>
        <v>0</v>
      </c>
      <c r="P69" s="33">
        <f>VLOOKUP(L69,$AS$67:$AW$70,5,FALSE)</f>
        <v>0</v>
      </c>
      <c r="X69" s="88" t="str">
        <f t="shared" si="142"/>
        <v>Korea</v>
      </c>
      <c r="Y69" s="89">
        <f t="shared" si="135"/>
        <v>0</v>
      </c>
      <c r="Z69" s="89">
        <f t="shared" si="136"/>
        <v>0</v>
      </c>
      <c r="AA69" s="89">
        <f t="shared" si="137"/>
        <v>0</v>
      </c>
      <c r="AB69" s="88" t="str">
        <f t="shared" si="143"/>
        <v>Ghana</v>
      </c>
      <c r="AC69" s="89">
        <f t="shared" si="138"/>
        <v>0</v>
      </c>
      <c r="AD69" s="73">
        <f t="shared" si="139"/>
        <v>0</v>
      </c>
      <c r="AE69" s="73">
        <f t="shared" si="140"/>
        <v>0</v>
      </c>
      <c r="AG69" s="72">
        <f>RANK($AH69,$AH$67:$AH$70,1)+COUNTIF($AH$67:$AH69,$AH69)-1</f>
        <v>3</v>
      </c>
      <c r="AH69" s="72">
        <f>AI69+AJ69+AK69</f>
        <v>1</v>
      </c>
      <c r="AI69" s="72">
        <f t="shared" si="144"/>
        <v>0</v>
      </c>
      <c r="AJ69" s="72">
        <f t="shared" si="145"/>
        <v>0</v>
      </c>
      <c r="AK69" s="72">
        <f t="shared" si="146"/>
        <v>1</v>
      </c>
      <c r="AL69" s="88" t="s">
        <v>50</v>
      </c>
      <c r="AM69" s="72">
        <f t="shared" si="147"/>
        <v>0</v>
      </c>
      <c r="AN69" s="72">
        <f t="shared" si="148"/>
        <v>0</v>
      </c>
      <c r="AO69" s="72">
        <f t="shared" si="149"/>
        <v>0</v>
      </c>
      <c r="AP69" s="72">
        <f t="shared" si="150"/>
        <v>0</v>
      </c>
      <c r="AR69" s="72">
        <v>3</v>
      </c>
      <c r="AS69" s="72" t="str">
        <f t="shared" si="151"/>
        <v>Uruguay</v>
      </c>
      <c r="AT69" s="72">
        <f t="shared" si="152"/>
        <v>0</v>
      </c>
      <c r="AU69" s="72">
        <f t="shared" si="153"/>
        <v>0</v>
      </c>
      <c r="AV69" s="72">
        <f t="shared" si="154"/>
        <v>0</v>
      </c>
      <c r="AW69" s="72">
        <f t="shared" si="155"/>
        <v>0</v>
      </c>
      <c r="AX69" s="177"/>
      <c r="AY69" s="182"/>
      <c r="AZ69" s="177"/>
      <c r="BA69" s="181"/>
      <c r="BB69" s="177"/>
      <c r="BC69" s="181"/>
      <c r="BD69" s="181"/>
      <c r="BE69" s="181"/>
      <c r="BF69" s="181"/>
      <c r="BG69" s="178"/>
      <c r="BI69" s="45"/>
      <c r="BJ69" s="49"/>
      <c r="BK69" s="49"/>
      <c r="BL69" s="49"/>
      <c r="BM69" s="49"/>
      <c r="BO69" s="87">
        <v>66</v>
      </c>
      <c r="BP69" s="16"/>
      <c r="BQ69" s="157"/>
      <c r="BR69" s="162"/>
    </row>
    <row r="70" spans="2:70" ht="14.25" customHeight="1" x14ac:dyDescent="0.25">
      <c r="B70" s="16">
        <v>32</v>
      </c>
      <c r="C70" s="95">
        <v>44893</v>
      </c>
      <c r="D70" s="84" t="s">
        <v>64</v>
      </c>
      <c r="E70" s="85" t="s">
        <v>6</v>
      </c>
      <c r="F70" s="86" t="s">
        <v>50</v>
      </c>
      <c r="G70" s="62"/>
      <c r="H70" s="87" t="s">
        <v>6</v>
      </c>
      <c r="I70" s="62"/>
      <c r="J70" s="64" t="str">
        <f t="shared" si="141"/>
        <v/>
      </c>
      <c r="K70" s="2">
        <v>4</v>
      </c>
      <c r="L70" s="21" t="str">
        <f>VLOOKUP(K70,$AR$67:$AW$70,2,FALSE)</f>
        <v>Korea</v>
      </c>
      <c r="M70" s="18">
        <f>VLOOKUP(L70,$AS$67:$AW$70,2,FALSE)</f>
        <v>0</v>
      </c>
      <c r="N70" s="18">
        <f>VLOOKUP(L70,$AS$67:$AW$70,3,FALSE)</f>
        <v>0</v>
      </c>
      <c r="O70" s="18">
        <f>VLOOKUP(L70,$AS$67:$AW$70,4,FALSE)</f>
        <v>0</v>
      </c>
      <c r="P70" s="19">
        <f>VLOOKUP(L70,$AS$67:$AW$70,5,FALSE)</f>
        <v>0</v>
      </c>
      <c r="X70" s="88" t="str">
        <f t="shared" si="142"/>
        <v>Portugal</v>
      </c>
      <c r="Y70" s="89">
        <f t="shared" si="135"/>
        <v>0</v>
      </c>
      <c r="Z70" s="89">
        <f t="shared" si="136"/>
        <v>0</v>
      </c>
      <c r="AA70" s="89">
        <f t="shared" si="137"/>
        <v>0</v>
      </c>
      <c r="AB70" s="88" t="str">
        <f t="shared" si="143"/>
        <v>Uruguay</v>
      </c>
      <c r="AC70" s="89">
        <f t="shared" si="138"/>
        <v>0</v>
      </c>
      <c r="AD70" s="73">
        <f t="shared" si="139"/>
        <v>0</v>
      </c>
      <c r="AE70" s="73">
        <f t="shared" si="140"/>
        <v>0</v>
      </c>
      <c r="AG70" s="72">
        <f>RANK($AH70,$AH$67:$AH$70,1)+COUNTIF($AH$67:$AH70,$AH70)-1</f>
        <v>4</v>
      </c>
      <c r="AH70" s="72">
        <f>AI70+AJ70+AK70</f>
        <v>1</v>
      </c>
      <c r="AI70" s="72">
        <f t="shared" si="144"/>
        <v>0</v>
      </c>
      <c r="AJ70" s="72">
        <f t="shared" si="145"/>
        <v>0</v>
      </c>
      <c r="AK70" s="72">
        <f t="shared" si="146"/>
        <v>1</v>
      </c>
      <c r="AL70" s="88" t="s">
        <v>162</v>
      </c>
      <c r="AM70" s="72">
        <f t="shared" si="147"/>
        <v>0</v>
      </c>
      <c r="AN70" s="72">
        <f t="shared" si="148"/>
        <v>0</v>
      </c>
      <c r="AO70" s="72">
        <f t="shared" si="149"/>
        <v>0</v>
      </c>
      <c r="AP70" s="72">
        <f t="shared" si="150"/>
        <v>0</v>
      </c>
      <c r="AR70" s="72">
        <v>4</v>
      </c>
      <c r="AS70" s="72" t="str">
        <f t="shared" si="151"/>
        <v>Korea</v>
      </c>
      <c r="AT70" s="72">
        <f t="shared" si="152"/>
        <v>0</v>
      </c>
      <c r="AU70" s="72">
        <f t="shared" si="153"/>
        <v>0</v>
      </c>
      <c r="AV70" s="72">
        <f t="shared" si="154"/>
        <v>0</v>
      </c>
      <c r="AW70" s="72">
        <f t="shared" si="155"/>
        <v>0</v>
      </c>
      <c r="AX70" s="177"/>
      <c r="AY70" s="182"/>
      <c r="AZ70" s="177"/>
      <c r="BA70" s="181"/>
      <c r="BB70" s="177"/>
      <c r="BC70" s="181"/>
      <c r="BD70" s="181"/>
      <c r="BE70" s="181"/>
      <c r="BF70" s="181"/>
      <c r="BG70" s="178"/>
      <c r="BI70" s="45"/>
      <c r="BJ70" s="49"/>
      <c r="BK70" s="49"/>
      <c r="BL70" s="49"/>
      <c r="BM70" s="49"/>
      <c r="BO70" s="87">
        <v>67</v>
      </c>
      <c r="BP70" s="16"/>
      <c r="BQ70" s="157"/>
      <c r="BR70" s="162"/>
    </row>
    <row r="71" spans="2:70" ht="14.25" customHeight="1" x14ac:dyDescent="0.25">
      <c r="B71" s="16">
        <v>45</v>
      </c>
      <c r="C71" s="95">
        <v>44897</v>
      </c>
      <c r="D71" s="84" t="s">
        <v>65</v>
      </c>
      <c r="E71" s="85" t="s">
        <v>6</v>
      </c>
      <c r="F71" s="86" t="s">
        <v>50</v>
      </c>
      <c r="G71" s="62"/>
      <c r="H71" s="87" t="s">
        <v>6</v>
      </c>
      <c r="I71" s="62"/>
      <c r="J71" s="64" t="str">
        <f t="shared" si="141"/>
        <v/>
      </c>
      <c r="L71" s="187">
        <f>COUNTBLANK(G67:G72)+COUNTBLANK(I67:I72)</f>
        <v>12</v>
      </c>
      <c r="X71" s="88" t="str">
        <f t="shared" si="142"/>
        <v>Ghana</v>
      </c>
      <c r="Y71" s="89">
        <f t="shared" si="135"/>
        <v>0</v>
      </c>
      <c r="Z71" s="89">
        <f t="shared" si="136"/>
        <v>0</v>
      </c>
      <c r="AA71" s="89">
        <f t="shared" si="137"/>
        <v>0</v>
      </c>
      <c r="AB71" s="88" t="str">
        <f t="shared" si="143"/>
        <v>Uruguay</v>
      </c>
      <c r="AC71" s="89">
        <f t="shared" si="138"/>
        <v>0</v>
      </c>
      <c r="AD71" s="73">
        <f t="shared" si="139"/>
        <v>0</v>
      </c>
      <c r="AE71" s="73">
        <f t="shared" si="140"/>
        <v>0</v>
      </c>
      <c r="AX71" s="177"/>
      <c r="AY71" s="182"/>
      <c r="AZ71" s="177"/>
      <c r="BA71" s="181"/>
      <c r="BB71" s="177"/>
      <c r="BC71" s="181"/>
      <c r="BD71" s="181"/>
      <c r="BE71" s="181"/>
      <c r="BF71" s="181"/>
      <c r="BG71" s="178"/>
      <c r="BL71" s="79"/>
      <c r="BM71" s="79"/>
      <c r="BO71" s="87">
        <v>68</v>
      </c>
      <c r="BP71" s="16"/>
      <c r="BQ71" s="157"/>
      <c r="BR71" s="162"/>
    </row>
    <row r="72" spans="2:70" ht="14.25" customHeight="1" x14ac:dyDescent="0.25">
      <c r="B72" s="16">
        <v>46</v>
      </c>
      <c r="C72" s="95">
        <v>44897</v>
      </c>
      <c r="D72" s="84" t="s">
        <v>162</v>
      </c>
      <c r="E72" s="85" t="s">
        <v>6</v>
      </c>
      <c r="F72" s="86" t="s">
        <v>64</v>
      </c>
      <c r="G72" s="62"/>
      <c r="H72" s="87" t="s">
        <v>6</v>
      </c>
      <c r="I72" s="62"/>
      <c r="J72" s="64" t="str">
        <f t="shared" si="141"/>
        <v/>
      </c>
      <c r="X72" s="88" t="str">
        <f t="shared" si="142"/>
        <v>Korea</v>
      </c>
      <c r="Y72" s="89">
        <f t="shared" si="135"/>
        <v>0</v>
      </c>
      <c r="Z72" s="89">
        <f t="shared" si="136"/>
        <v>0</v>
      </c>
      <c r="AA72" s="89">
        <f t="shared" si="137"/>
        <v>0</v>
      </c>
      <c r="AB72" s="88" t="str">
        <f t="shared" si="143"/>
        <v>Portugal</v>
      </c>
      <c r="AC72" s="89">
        <f t="shared" si="138"/>
        <v>0</v>
      </c>
      <c r="AD72" s="73">
        <f t="shared" si="139"/>
        <v>0</v>
      </c>
      <c r="AE72" s="73">
        <f t="shared" si="140"/>
        <v>0</v>
      </c>
      <c r="AX72" s="177"/>
      <c r="AY72" s="182"/>
      <c r="AZ72" s="177"/>
      <c r="BA72" s="181"/>
      <c r="BB72" s="177"/>
      <c r="BC72" s="181"/>
      <c r="BD72" s="181"/>
      <c r="BE72" s="181"/>
      <c r="BF72" s="181"/>
      <c r="BG72" s="178"/>
      <c r="BH72" s="184"/>
      <c r="BI72" s="184"/>
      <c r="BJ72" s="177"/>
      <c r="BK72" s="182"/>
      <c r="BL72" s="184"/>
      <c r="BM72" s="184"/>
      <c r="BO72" s="87">
        <v>69</v>
      </c>
      <c r="BP72" s="16"/>
      <c r="BQ72" s="157"/>
      <c r="BR72" s="162"/>
    </row>
    <row r="73" spans="2:70" ht="14.25" customHeight="1" x14ac:dyDescent="0.25">
      <c r="J73" s="24"/>
      <c r="AX73" s="177"/>
      <c r="AY73" s="177"/>
      <c r="AZ73" s="177"/>
      <c r="BA73" s="181"/>
      <c r="BB73" s="177"/>
      <c r="BC73" s="181"/>
      <c r="BD73" s="181"/>
      <c r="BE73" s="181"/>
      <c r="BF73" s="181"/>
      <c r="BG73" s="178"/>
      <c r="BH73" s="184"/>
      <c r="BI73" s="184"/>
      <c r="BJ73" s="177"/>
      <c r="BK73" s="182"/>
      <c r="BL73" s="184"/>
      <c r="BM73" s="184"/>
      <c r="BO73" s="87">
        <v>70</v>
      </c>
      <c r="BP73" s="16"/>
      <c r="BQ73" s="157"/>
      <c r="BR73" s="162"/>
    </row>
    <row r="74" spans="2:70" ht="14.25" customHeight="1" x14ac:dyDescent="0.25">
      <c r="B74" s="68" t="s">
        <v>1</v>
      </c>
      <c r="C74" s="38"/>
      <c r="D74" s="5"/>
      <c r="J74" s="24"/>
      <c r="X74" s="73"/>
      <c r="AX74" s="175"/>
      <c r="AY74" s="182"/>
      <c r="AZ74" s="184"/>
      <c r="BA74" s="181"/>
      <c r="BB74" s="177"/>
      <c r="BC74" s="181"/>
      <c r="BD74" s="181"/>
      <c r="BE74" s="181"/>
      <c r="BF74" s="181"/>
      <c r="BG74" s="178"/>
      <c r="BH74" s="184"/>
      <c r="BI74" s="185"/>
      <c r="BJ74" s="175"/>
      <c r="BK74" s="183"/>
      <c r="BL74" s="185"/>
      <c r="BM74" s="185"/>
      <c r="BO74" s="87">
        <v>71</v>
      </c>
      <c r="BP74" s="16"/>
      <c r="BQ74" s="157"/>
      <c r="BR74" s="162"/>
    </row>
    <row r="75" spans="2:70" ht="14.25" customHeight="1" x14ac:dyDescent="0.25">
      <c r="B75" s="119" t="s">
        <v>2</v>
      </c>
      <c r="C75" s="112" t="s">
        <v>3</v>
      </c>
      <c r="D75" s="207" t="s">
        <v>2</v>
      </c>
      <c r="E75" s="208"/>
      <c r="F75" s="209"/>
      <c r="G75" s="208" t="s">
        <v>4</v>
      </c>
      <c r="H75" s="208"/>
      <c r="I75" s="208"/>
      <c r="J75" s="28" t="s">
        <v>69</v>
      </c>
      <c r="L75" s="39" t="s">
        <v>111</v>
      </c>
      <c r="M75" s="40"/>
      <c r="N75" s="188" t="s">
        <v>163</v>
      </c>
      <c r="O75" s="189"/>
      <c r="P75" s="190"/>
      <c r="Q75" s="190"/>
      <c r="R75" s="190"/>
      <c r="S75" s="191"/>
      <c r="X75" s="108" t="s">
        <v>2</v>
      </c>
      <c r="Y75" s="108"/>
      <c r="Z75" s="108"/>
      <c r="AA75" s="108"/>
      <c r="AB75" s="108"/>
      <c r="AG75" s="119" t="s">
        <v>2</v>
      </c>
      <c r="AH75" s="112" t="s">
        <v>3</v>
      </c>
      <c r="AI75" s="207" t="s">
        <v>2</v>
      </c>
      <c r="AJ75" s="208"/>
      <c r="AK75" s="209"/>
      <c r="AX75" s="175"/>
      <c r="AY75" s="175"/>
      <c r="AZ75" s="206"/>
      <c r="BA75" s="206"/>
      <c r="BB75" s="206"/>
      <c r="BC75" s="206"/>
      <c r="BD75" s="206"/>
      <c r="BE75" s="206"/>
      <c r="BF75" s="179"/>
      <c r="BG75" s="179"/>
      <c r="BH75" s="184"/>
      <c r="BI75" s="185"/>
      <c r="BJ75" s="175"/>
      <c r="BK75" s="175"/>
      <c r="BL75" s="175"/>
      <c r="BM75" s="175"/>
      <c r="BO75" s="87">
        <v>72</v>
      </c>
      <c r="BP75" s="16"/>
      <c r="BQ75" s="157"/>
      <c r="BR75" s="162"/>
    </row>
    <row r="76" spans="2:70" ht="14.25" customHeight="1" x14ac:dyDescent="0.25">
      <c r="B76" s="98">
        <v>50</v>
      </c>
      <c r="C76" s="130">
        <v>44898</v>
      </c>
      <c r="D76" s="192" t="str">
        <f>IF($L$26=0,$L$22,"Vinnare grupp C")</f>
        <v>Vinnare grupp C</v>
      </c>
      <c r="E76" s="193" t="s">
        <v>6</v>
      </c>
      <c r="F76" s="194" t="str">
        <f>IF($L$35=0,$L$32,"Tvåa grupp D")</f>
        <v>Tvåa grupp D</v>
      </c>
      <c r="G76" s="62"/>
      <c r="H76" s="87" t="s">
        <v>6</v>
      </c>
      <c r="I76" s="62"/>
      <c r="J76" s="64" t="str">
        <f t="shared" ref="J76:J83" si="156">IF(OR(ISBLANK(G76),ISBLANK(I76)),"",IF(G76&gt;I76,1,IF(G76&lt;I76,2,"X")))</f>
        <v/>
      </c>
      <c r="L76" s="65"/>
      <c r="M76" s="40"/>
      <c r="N76" s="215" t="s">
        <v>196</v>
      </c>
      <c r="O76" s="216"/>
      <c r="P76" s="216"/>
      <c r="Q76" s="216"/>
      <c r="R76" s="216"/>
      <c r="S76" s="217"/>
      <c r="X76" s="89" t="s">
        <v>8</v>
      </c>
      <c r="AB76" s="88" t="s">
        <v>9</v>
      </c>
      <c r="AG76" s="98">
        <v>50</v>
      </c>
      <c r="AH76" s="130">
        <v>44898</v>
      </c>
      <c r="AI76" s="192" t="str">
        <f>IF($L$26=0,$L$22,"Vinnare grupp C")</f>
        <v>Vinnare grupp C</v>
      </c>
      <c r="AJ76" s="193" t="s">
        <v>6</v>
      </c>
      <c r="AK76" s="194" t="str">
        <f>IF($L$35=0,$L$32,"Tvåa grupp D")</f>
        <v>Tvåa grupp D</v>
      </c>
      <c r="AX76" s="177"/>
      <c r="AY76" s="182"/>
      <c r="AZ76" s="177"/>
      <c r="BA76" s="177"/>
      <c r="BB76" s="177"/>
      <c r="BC76" s="181"/>
      <c r="BD76" s="181"/>
      <c r="BE76" s="181"/>
      <c r="BF76" s="181"/>
      <c r="BG76" s="178"/>
      <c r="BH76" s="184"/>
      <c r="BI76" s="177"/>
      <c r="BJ76" s="177"/>
      <c r="BK76" s="182"/>
      <c r="BL76" s="186"/>
      <c r="BM76" s="184"/>
      <c r="BO76" s="87">
        <v>73</v>
      </c>
      <c r="BP76" s="16"/>
      <c r="BQ76" s="157"/>
      <c r="BR76" s="162"/>
    </row>
    <row r="77" spans="2:70" ht="14.25" customHeight="1" x14ac:dyDescent="0.25">
      <c r="B77" s="16">
        <v>49</v>
      </c>
      <c r="C77" s="95">
        <v>44898</v>
      </c>
      <c r="D77" s="192" t="str">
        <f>IF($L$8=0,$L$4,"Vinnare grupp A")</f>
        <v>Vinnare grupp A</v>
      </c>
      <c r="E77" s="193" t="s">
        <v>6</v>
      </c>
      <c r="F77" s="194" t="str">
        <f>IF($L$17=0,$L$14,"Tvåa grupp B")</f>
        <v>Tvåa grupp B</v>
      </c>
      <c r="G77" s="62"/>
      <c r="H77" s="87" t="s">
        <v>6</v>
      </c>
      <c r="I77" s="62"/>
      <c r="J77" s="64" t="str">
        <f t="shared" si="156"/>
        <v/>
      </c>
      <c r="L77" s="65"/>
      <c r="M77" s="40"/>
      <c r="N77" s="215"/>
      <c r="O77" s="216"/>
      <c r="P77" s="216"/>
      <c r="Q77" s="216"/>
      <c r="R77" s="216"/>
      <c r="S77" s="217"/>
      <c r="X77" s="89" t="s">
        <v>12</v>
      </c>
      <c r="AB77" s="88" t="s">
        <v>13</v>
      </c>
      <c r="AG77" s="16">
        <v>49</v>
      </c>
      <c r="AH77" s="95">
        <v>44898</v>
      </c>
      <c r="AI77" s="192" t="str">
        <f>IF($L$8=0,$L$4,"Vinnare grupp A")</f>
        <v>Vinnare grupp A</v>
      </c>
      <c r="AJ77" s="193" t="s">
        <v>6</v>
      </c>
      <c r="AK77" s="194" t="str">
        <f>IF($L$17=0,$L$14,"Tvåa grupp B")</f>
        <v>Tvåa grupp B</v>
      </c>
      <c r="AX77" s="177"/>
      <c r="AY77" s="182"/>
      <c r="AZ77" s="177"/>
      <c r="BA77" s="177"/>
      <c r="BB77" s="177"/>
      <c r="BC77" s="181"/>
      <c r="BD77" s="181"/>
      <c r="BE77" s="181"/>
      <c r="BF77" s="181"/>
      <c r="BG77" s="178"/>
      <c r="BH77" s="184"/>
      <c r="BI77" s="177"/>
      <c r="BJ77" s="177"/>
      <c r="BK77" s="182"/>
      <c r="BL77" s="186"/>
      <c r="BM77" s="184"/>
      <c r="BO77" s="87">
        <v>74</v>
      </c>
      <c r="BP77" s="16"/>
      <c r="BQ77" s="157"/>
      <c r="BR77" s="162"/>
    </row>
    <row r="78" spans="2:70" ht="14.25" customHeight="1" x14ac:dyDescent="0.25">
      <c r="B78" s="16">
        <v>51</v>
      </c>
      <c r="C78" s="95">
        <v>44899</v>
      </c>
      <c r="D78" s="192" t="str">
        <f>IF($L$17=0,$L$13,"Vinnare grupp B")</f>
        <v>Vinnare grupp B</v>
      </c>
      <c r="E78" s="193" t="s">
        <v>6</v>
      </c>
      <c r="F78" s="194" t="str">
        <f>IF($L$8=0,$L$5,"Tvåa grupp A")</f>
        <v>Tvåa grupp A</v>
      </c>
      <c r="G78" s="62"/>
      <c r="H78" s="87" t="s">
        <v>6</v>
      </c>
      <c r="I78" s="62"/>
      <c r="J78" s="64" t="str">
        <f t="shared" si="156"/>
        <v/>
      </c>
      <c r="L78" s="65"/>
      <c r="M78" s="40"/>
      <c r="N78" s="215"/>
      <c r="O78" s="216"/>
      <c r="P78" s="216"/>
      <c r="Q78" s="216"/>
      <c r="R78" s="216"/>
      <c r="S78" s="217"/>
      <c r="X78" s="89" t="s">
        <v>14</v>
      </c>
      <c r="AB78" s="88" t="s">
        <v>15</v>
      </c>
      <c r="AG78" s="16">
        <v>51</v>
      </c>
      <c r="AH78" s="95">
        <v>44899</v>
      </c>
      <c r="AI78" s="192" t="str">
        <f>IF($L$17=0,$L$13,"Vinnare grupp B")</f>
        <v>Vinnare grupp B</v>
      </c>
      <c r="AJ78" s="193" t="s">
        <v>6</v>
      </c>
      <c r="AK78" s="194" t="str">
        <f>IF($L$8=0,$L$5,"Tvåa grupp A")</f>
        <v>Tvåa grupp A</v>
      </c>
      <c r="AX78" s="177"/>
      <c r="AY78" s="182"/>
      <c r="AZ78" s="177"/>
      <c r="BA78" s="177"/>
      <c r="BB78" s="177"/>
      <c r="BC78" s="181"/>
      <c r="BD78" s="181"/>
      <c r="BE78" s="181"/>
      <c r="BF78" s="181"/>
      <c r="BG78" s="178"/>
      <c r="BH78" s="184"/>
      <c r="BI78" s="177"/>
      <c r="BJ78" s="177"/>
      <c r="BK78" s="182"/>
      <c r="BL78" s="186"/>
      <c r="BM78" s="184"/>
      <c r="BO78" s="87">
        <v>75</v>
      </c>
      <c r="BP78" s="16"/>
      <c r="BQ78" s="157"/>
      <c r="BR78" s="162"/>
    </row>
    <row r="79" spans="2:70" ht="14.25" customHeight="1" x14ac:dyDescent="0.25">
      <c r="B79" s="16">
        <v>52</v>
      </c>
      <c r="C79" s="95">
        <v>44899</v>
      </c>
      <c r="D79" s="192" t="str">
        <f>IF($L$35=0,$L$31,"Vinnare grupp D")</f>
        <v>Vinnare grupp D</v>
      </c>
      <c r="E79" s="193" t="s">
        <v>6</v>
      </c>
      <c r="F79" s="194" t="str">
        <f>IF($L$26=0,$L$23,"Tvåa grupp C")</f>
        <v>Tvåa grupp C</v>
      </c>
      <c r="G79" s="62"/>
      <c r="H79" s="87" t="s">
        <v>6</v>
      </c>
      <c r="I79" s="62"/>
      <c r="J79" s="64" t="str">
        <f t="shared" si="156"/>
        <v/>
      </c>
      <c r="L79" s="65"/>
      <c r="M79" s="40"/>
      <c r="N79" s="215"/>
      <c r="O79" s="216"/>
      <c r="P79" s="216"/>
      <c r="Q79" s="216"/>
      <c r="R79" s="216"/>
      <c r="S79" s="217"/>
      <c r="X79" s="89" t="s">
        <v>16</v>
      </c>
      <c r="AB79" s="88" t="s">
        <v>17</v>
      </c>
      <c r="AG79" s="16">
        <v>52</v>
      </c>
      <c r="AH79" s="95">
        <v>44899</v>
      </c>
      <c r="AI79" s="192" t="str">
        <f>IF($L$35=0,$L$31,"Vinnare grupp D")</f>
        <v>Vinnare grupp D</v>
      </c>
      <c r="AJ79" s="193" t="s">
        <v>6</v>
      </c>
      <c r="AK79" s="194" t="str">
        <f>IF($L$26=0,$L$23,"Tvåa grupp C")</f>
        <v>Tvåa grupp C</v>
      </c>
      <c r="AX79" s="177"/>
      <c r="AY79" s="182"/>
      <c r="AZ79" s="177"/>
      <c r="BA79" s="177"/>
      <c r="BB79" s="177"/>
      <c r="BC79" s="181"/>
      <c r="BD79" s="181"/>
      <c r="BE79" s="181"/>
      <c r="BF79" s="181"/>
      <c r="BG79" s="178"/>
      <c r="BH79" s="184"/>
      <c r="BI79" s="177"/>
      <c r="BJ79" s="177"/>
      <c r="BK79" s="182"/>
      <c r="BL79" s="186"/>
      <c r="BM79" s="184"/>
      <c r="BO79" s="87">
        <v>76</v>
      </c>
      <c r="BP79" s="16"/>
      <c r="BQ79" s="157"/>
      <c r="BR79" s="162"/>
    </row>
    <row r="80" spans="2:70" ht="14.25" customHeight="1" x14ac:dyDescent="0.25">
      <c r="B80" s="137">
        <v>53</v>
      </c>
      <c r="C80" s="138">
        <v>44900</v>
      </c>
      <c r="D80" s="192" t="str">
        <f>IF($L$44=0,$L$40,"Vinnare grupp E")</f>
        <v>Vinnare grupp E</v>
      </c>
      <c r="E80" s="193" t="s">
        <v>6</v>
      </c>
      <c r="F80" s="194" t="str">
        <f>IF($L$53=0,$L$50,"Tvåa grupp F")</f>
        <v>Tvåa grupp F</v>
      </c>
      <c r="G80" s="62"/>
      <c r="H80" s="87" t="s">
        <v>6</v>
      </c>
      <c r="I80" s="62"/>
      <c r="J80" s="64" t="str">
        <f t="shared" si="156"/>
        <v/>
      </c>
      <c r="L80" s="65"/>
      <c r="M80" s="40"/>
      <c r="N80" s="215"/>
      <c r="O80" s="216"/>
      <c r="P80" s="216"/>
      <c r="Q80" s="216"/>
      <c r="R80" s="216"/>
      <c r="S80" s="217"/>
      <c r="X80" s="89" t="s">
        <v>18</v>
      </c>
      <c r="AB80" s="88" t="s">
        <v>19</v>
      </c>
      <c r="AG80" s="137">
        <v>53</v>
      </c>
      <c r="AH80" s="138">
        <v>44900</v>
      </c>
      <c r="AI80" s="192" t="str">
        <f>IF($L$44=0,$L$40,"Vinnare grupp E")</f>
        <v>Vinnare grupp E</v>
      </c>
      <c r="AJ80" s="193" t="s">
        <v>6</v>
      </c>
      <c r="AK80" s="194" t="str">
        <f>IF($L$53=0,$L$50,"Tvåa grupp F")</f>
        <v>Tvåa grupp F</v>
      </c>
      <c r="AX80" s="177"/>
      <c r="AY80" s="182"/>
      <c r="AZ80" s="177"/>
      <c r="BA80" s="177"/>
      <c r="BB80" s="177"/>
      <c r="BC80" s="181"/>
      <c r="BD80" s="181"/>
      <c r="BE80" s="181"/>
      <c r="BF80" s="181"/>
      <c r="BG80" s="178"/>
      <c r="BH80" s="184"/>
      <c r="BI80" s="177"/>
      <c r="BJ80" s="177"/>
      <c r="BK80" s="182"/>
      <c r="BL80" s="186"/>
      <c r="BM80" s="184"/>
      <c r="BO80" s="87">
        <v>77</v>
      </c>
      <c r="BP80" s="16"/>
      <c r="BQ80" s="157"/>
      <c r="BR80" s="162"/>
    </row>
    <row r="81" spans="2:70" ht="14.25" customHeight="1" x14ac:dyDescent="0.25">
      <c r="B81" s="16">
        <v>54</v>
      </c>
      <c r="C81" s="138">
        <v>44900</v>
      </c>
      <c r="D81" s="192" t="str">
        <f>IF($L$62=0,$L$58,"Vinnare grupp G")</f>
        <v>Vinnare grupp G</v>
      </c>
      <c r="E81" s="193" t="s">
        <v>6</v>
      </c>
      <c r="F81" s="194" t="str">
        <f>IF($L$71=0,$L$68,"Tvåa grupp H")</f>
        <v>Tvåa grupp H</v>
      </c>
      <c r="G81" s="62"/>
      <c r="H81" s="87" t="s">
        <v>6</v>
      </c>
      <c r="I81" s="62"/>
      <c r="J81" s="64" t="str">
        <f t="shared" si="156"/>
        <v/>
      </c>
      <c r="L81" s="65"/>
      <c r="M81" s="40"/>
      <c r="N81" s="215"/>
      <c r="O81" s="216"/>
      <c r="P81" s="216"/>
      <c r="Q81" s="216"/>
      <c r="R81" s="216"/>
      <c r="S81" s="217"/>
      <c r="X81" s="89" t="s">
        <v>20</v>
      </c>
      <c r="AB81" s="88" t="s">
        <v>21</v>
      </c>
      <c r="AG81" s="16">
        <v>54</v>
      </c>
      <c r="AH81" s="138">
        <v>44900</v>
      </c>
      <c r="AI81" s="192" t="str">
        <f>IF($L$62=0,$L$58,"Vinnare grupp G")</f>
        <v>Vinnare grupp G</v>
      </c>
      <c r="AJ81" s="193" t="s">
        <v>6</v>
      </c>
      <c r="AK81" s="194" t="str">
        <f>IF($L$71=0,$L$68,"Tvåa grupp H")</f>
        <v>Tvåa grupp H</v>
      </c>
      <c r="AX81" s="177"/>
      <c r="AY81" s="182"/>
      <c r="AZ81" s="177"/>
      <c r="BA81" s="177"/>
      <c r="BB81" s="177"/>
      <c r="BC81" s="181"/>
      <c r="BD81" s="181"/>
      <c r="BE81" s="181"/>
      <c r="BF81" s="181"/>
      <c r="BG81" s="178"/>
      <c r="BH81" s="184"/>
      <c r="BI81" s="177"/>
      <c r="BJ81" s="177"/>
      <c r="BK81" s="182"/>
      <c r="BL81" s="186"/>
      <c r="BM81" s="184"/>
      <c r="BO81" s="87">
        <v>78</v>
      </c>
      <c r="BP81" s="16"/>
      <c r="BQ81" s="157"/>
      <c r="BR81" s="162"/>
    </row>
    <row r="82" spans="2:70" ht="14.25" customHeight="1" x14ac:dyDescent="0.25">
      <c r="B82" s="16">
        <v>55</v>
      </c>
      <c r="C82" s="95">
        <v>44901</v>
      </c>
      <c r="D82" s="192" t="str">
        <f>IF($L$53=0,$L$49,"Vinnare grupp F")</f>
        <v>Vinnare grupp F</v>
      </c>
      <c r="E82" s="193" t="s">
        <v>6</v>
      </c>
      <c r="F82" s="194" t="str">
        <f>IF($L$44=0,$L$41,"Tvåa grupp E")</f>
        <v>Tvåa grupp E</v>
      </c>
      <c r="G82" s="62"/>
      <c r="H82" s="87" t="s">
        <v>6</v>
      </c>
      <c r="I82" s="62"/>
      <c r="J82" s="64" t="str">
        <f t="shared" si="156"/>
        <v/>
      </c>
      <c r="L82" s="65"/>
      <c r="M82" s="40"/>
      <c r="N82" s="215"/>
      <c r="O82" s="216"/>
      <c r="P82" s="216"/>
      <c r="Q82" s="216"/>
      <c r="R82" s="216"/>
      <c r="S82" s="217"/>
      <c r="X82" s="89" t="s">
        <v>22</v>
      </c>
      <c r="AB82" s="88" t="s">
        <v>23</v>
      </c>
      <c r="AG82" s="16">
        <v>55</v>
      </c>
      <c r="AH82" s="95">
        <v>44901</v>
      </c>
      <c r="AI82" s="192" t="str">
        <f>IF($L$53=0,$L$49,"Vinnare grupp F")</f>
        <v>Vinnare grupp F</v>
      </c>
      <c r="AJ82" s="193" t="s">
        <v>6</v>
      </c>
      <c r="AK82" s="194" t="str">
        <f>IF($L$44=0,$L$41,"Tvåa grupp E")</f>
        <v>Tvåa grupp E</v>
      </c>
      <c r="AX82" s="177"/>
      <c r="AY82" s="182"/>
      <c r="AZ82" s="177"/>
      <c r="BA82" s="177"/>
      <c r="BB82" s="177"/>
      <c r="BC82" s="181"/>
      <c r="BD82" s="181"/>
      <c r="BE82" s="181"/>
      <c r="BF82" s="181"/>
      <c r="BG82" s="178"/>
      <c r="BH82" s="184"/>
      <c r="BI82" s="177"/>
      <c r="BJ82" s="177"/>
      <c r="BK82" s="182"/>
      <c r="BL82" s="186"/>
      <c r="BM82" s="184"/>
      <c r="BO82" s="87">
        <v>79</v>
      </c>
      <c r="BP82" s="16"/>
      <c r="BQ82" s="157"/>
      <c r="BR82" s="162"/>
    </row>
    <row r="83" spans="2:70" ht="14.25" customHeight="1" x14ac:dyDescent="0.25">
      <c r="B83" s="16">
        <v>56</v>
      </c>
      <c r="C83" s="95">
        <v>44901</v>
      </c>
      <c r="D83" s="192" t="str">
        <f>IF($L$71=0,$L$67,"Vinnare grupp H")</f>
        <v>Vinnare grupp H</v>
      </c>
      <c r="E83" s="193" t="s">
        <v>6</v>
      </c>
      <c r="F83" s="194" t="str">
        <f>IF($L$62=0,$L$59,"Tvåa grupp G")</f>
        <v>Tvåa grupp G</v>
      </c>
      <c r="G83" s="62"/>
      <c r="H83" s="87" t="s">
        <v>6</v>
      </c>
      <c r="I83" s="62"/>
      <c r="J83" s="64" t="str">
        <f t="shared" si="156"/>
        <v/>
      </c>
      <c r="L83" s="65"/>
      <c r="M83" s="40"/>
      <c r="N83" s="218"/>
      <c r="O83" s="219"/>
      <c r="P83" s="219"/>
      <c r="Q83" s="219"/>
      <c r="R83" s="219"/>
      <c r="S83" s="220"/>
      <c r="X83" s="89" t="s">
        <v>25</v>
      </c>
      <c r="AB83" s="88" t="s">
        <v>26</v>
      </c>
      <c r="AG83" s="16">
        <v>56</v>
      </c>
      <c r="AH83" s="95">
        <v>44901</v>
      </c>
      <c r="AI83" s="192" t="str">
        <f>IF($L$71=0,$L$67,"Vinnare grupp H")</f>
        <v>Vinnare grupp H</v>
      </c>
      <c r="AJ83" s="193" t="s">
        <v>6</v>
      </c>
      <c r="AK83" s="194" t="str">
        <f>IF($L$62=0,$L$59,"Tvåa grupp G")</f>
        <v>Tvåa grupp G</v>
      </c>
      <c r="AX83" s="177"/>
      <c r="AY83" s="182"/>
      <c r="AZ83" s="177"/>
      <c r="BA83" s="177"/>
      <c r="BB83" s="177"/>
      <c r="BC83" s="181"/>
      <c r="BD83" s="181"/>
      <c r="BE83" s="181"/>
      <c r="BF83" s="181"/>
      <c r="BG83" s="178"/>
      <c r="BH83" s="184"/>
      <c r="BI83" s="177"/>
      <c r="BJ83" s="177"/>
      <c r="BK83" s="182"/>
      <c r="BL83" s="186"/>
      <c r="BM83" s="184"/>
      <c r="BO83" s="87">
        <v>80</v>
      </c>
      <c r="BP83" s="16"/>
      <c r="BQ83" s="157"/>
      <c r="BR83" s="162"/>
    </row>
    <row r="84" spans="2:70" ht="14.25" customHeight="1" x14ac:dyDescent="0.25">
      <c r="B84" s="4"/>
      <c r="C84" s="141"/>
      <c r="D84" s="4"/>
      <c r="E84" s="4"/>
      <c r="F84" s="4"/>
      <c r="G84" s="32"/>
      <c r="H84" s="32"/>
      <c r="I84" s="32"/>
      <c r="J84" s="24"/>
      <c r="L84" s="102"/>
      <c r="M84" s="40"/>
      <c r="N84" s="125"/>
      <c r="O84" s="2"/>
      <c r="P84" s="2"/>
      <c r="X84" s="89"/>
      <c r="AX84" s="184"/>
      <c r="AY84" s="186"/>
      <c r="AZ84" s="184"/>
      <c r="BA84" s="184"/>
      <c r="BB84" s="184"/>
      <c r="BC84" s="181"/>
      <c r="BD84" s="181"/>
      <c r="BE84" s="181"/>
      <c r="BF84" s="181"/>
      <c r="BG84" s="178"/>
      <c r="BH84" s="184"/>
      <c r="BI84" s="177"/>
      <c r="BJ84" s="177"/>
      <c r="BK84" s="182"/>
      <c r="BL84" s="186"/>
      <c r="BM84" s="184"/>
      <c r="BO84" s="87">
        <v>81</v>
      </c>
      <c r="BP84" s="16"/>
      <c r="BQ84" s="157"/>
      <c r="BR84" s="162"/>
    </row>
    <row r="85" spans="2:70" ht="14.25" customHeight="1" x14ac:dyDescent="0.25">
      <c r="B85" s="68" t="s">
        <v>28</v>
      </c>
      <c r="C85" s="38"/>
      <c r="D85" s="5"/>
      <c r="J85" s="24"/>
      <c r="L85" s="102"/>
      <c r="M85" s="40"/>
      <c r="N85" s="125"/>
      <c r="O85" s="2"/>
      <c r="P85" s="2"/>
      <c r="X85" s="73"/>
      <c r="AX85" s="175"/>
      <c r="AY85" s="182"/>
      <c r="AZ85" s="184"/>
      <c r="BA85" s="181"/>
      <c r="BB85" s="177"/>
      <c r="BC85" s="181"/>
      <c r="BD85" s="181"/>
      <c r="BE85" s="181"/>
      <c r="BF85" s="181"/>
      <c r="BG85" s="178"/>
      <c r="BH85" s="184"/>
      <c r="BI85" s="177"/>
      <c r="BJ85" s="177"/>
      <c r="BK85" s="182"/>
      <c r="BL85" s="186"/>
      <c r="BM85" s="184"/>
      <c r="BO85" s="87">
        <v>82</v>
      </c>
      <c r="BP85" s="16"/>
      <c r="BQ85" s="157"/>
      <c r="BR85" s="162"/>
    </row>
    <row r="86" spans="2:70" ht="14.25" customHeight="1" x14ac:dyDescent="0.25">
      <c r="B86" s="119" t="s">
        <v>2</v>
      </c>
      <c r="C86" s="112" t="s">
        <v>3</v>
      </c>
      <c r="D86" s="207" t="s">
        <v>2</v>
      </c>
      <c r="E86" s="208"/>
      <c r="F86" s="209"/>
      <c r="G86" s="208" t="s">
        <v>4</v>
      </c>
      <c r="H86" s="208"/>
      <c r="I86" s="208"/>
      <c r="J86" s="28" t="s">
        <v>69</v>
      </c>
      <c r="L86" s="43" t="s">
        <v>110</v>
      </c>
      <c r="M86" s="40"/>
      <c r="N86" s="24"/>
      <c r="O86" s="2"/>
      <c r="P86" s="2"/>
      <c r="X86" s="108" t="s">
        <v>2</v>
      </c>
      <c r="Y86" s="108"/>
      <c r="Z86" s="108"/>
      <c r="AA86" s="108"/>
      <c r="AB86" s="108"/>
      <c r="AX86" s="175"/>
      <c r="AY86" s="175"/>
      <c r="AZ86" s="206"/>
      <c r="BA86" s="206"/>
      <c r="BB86" s="206"/>
      <c r="BC86" s="206"/>
      <c r="BD86" s="206"/>
      <c r="BE86" s="206"/>
      <c r="BF86" s="179"/>
      <c r="BG86" s="179"/>
      <c r="BH86" s="184"/>
      <c r="BI86" s="177"/>
      <c r="BJ86" s="177"/>
      <c r="BK86" s="182"/>
      <c r="BL86" s="186"/>
      <c r="BM86" s="184"/>
      <c r="BO86" s="87">
        <v>83</v>
      </c>
      <c r="BP86" s="16"/>
      <c r="BQ86" s="157"/>
      <c r="BR86" s="162"/>
    </row>
    <row r="87" spans="2:70" ht="14.25" customHeight="1" x14ac:dyDescent="0.25">
      <c r="B87" s="16">
        <v>57</v>
      </c>
      <c r="C87" s="95">
        <v>44904</v>
      </c>
      <c r="D87" s="131" t="str">
        <f>IF(L77="","Vinnare match 49",L77)</f>
        <v>Vinnare match 49</v>
      </c>
      <c r="E87" s="132" t="s">
        <v>6</v>
      </c>
      <c r="F87" s="133" t="str">
        <f>IF(L76="","Vinnare match 50",L76)</f>
        <v>Vinnare match 50</v>
      </c>
      <c r="G87" s="62"/>
      <c r="H87" s="87" t="s">
        <v>6</v>
      </c>
      <c r="I87" s="62"/>
      <c r="J87" s="64" t="str">
        <f t="shared" ref="J87:J90" si="157">IF(OR(ISBLANK(G87),ISBLANK(I87)),"",IF(G87&gt;I87,1,IF(G87&lt;I87,2,"X")))</f>
        <v/>
      </c>
      <c r="L87" s="65"/>
      <c r="M87" s="40"/>
      <c r="N87" s="156"/>
      <c r="O87" s="2"/>
      <c r="P87" s="2"/>
      <c r="X87" s="89" t="s">
        <v>30</v>
      </c>
      <c r="AB87" s="88" t="s">
        <v>31</v>
      </c>
      <c r="AX87" s="177"/>
      <c r="AY87" s="182"/>
      <c r="AZ87" s="177"/>
      <c r="BA87" s="177"/>
      <c r="BB87" s="177"/>
      <c r="BC87" s="181"/>
      <c r="BD87" s="181"/>
      <c r="BE87" s="181"/>
      <c r="BF87" s="181"/>
      <c r="BG87" s="178"/>
      <c r="BH87" s="184"/>
      <c r="BI87" s="177"/>
      <c r="BJ87" s="177"/>
      <c r="BK87" s="182"/>
      <c r="BL87" s="186"/>
      <c r="BM87" s="184"/>
      <c r="BO87" s="87">
        <v>84</v>
      </c>
      <c r="BP87" s="16"/>
      <c r="BQ87" s="157"/>
      <c r="BR87" s="162"/>
    </row>
    <row r="88" spans="2:70" ht="14.25" customHeight="1" x14ac:dyDescent="0.25">
      <c r="B88" s="16">
        <v>58</v>
      </c>
      <c r="C88" s="95">
        <v>44904</v>
      </c>
      <c r="D88" s="131" t="str">
        <f>IF(L80="","Vinnare match 53",L80)</f>
        <v>Vinnare match 53</v>
      </c>
      <c r="E88" s="132" t="s">
        <v>6</v>
      </c>
      <c r="F88" s="133" t="str">
        <f>IF(L81="","Vinnare match 54",L81)</f>
        <v>Vinnare match 54</v>
      </c>
      <c r="G88" s="62"/>
      <c r="H88" s="87" t="s">
        <v>6</v>
      </c>
      <c r="I88" s="62"/>
      <c r="J88" s="64" t="str">
        <f t="shared" si="157"/>
        <v/>
      </c>
      <c r="L88" s="65"/>
      <c r="M88" s="40"/>
      <c r="N88" s="46"/>
      <c r="O88" s="2"/>
      <c r="P88" s="2"/>
      <c r="X88" s="89" t="s">
        <v>32</v>
      </c>
      <c r="AB88" s="88" t="s">
        <v>33</v>
      </c>
      <c r="AX88" s="177"/>
      <c r="AY88" s="182"/>
      <c r="AZ88" s="177"/>
      <c r="BA88" s="177"/>
      <c r="BB88" s="177"/>
      <c r="BC88" s="181"/>
      <c r="BD88" s="181"/>
      <c r="BE88" s="181"/>
      <c r="BF88" s="181"/>
      <c r="BG88" s="178"/>
      <c r="BH88" s="184"/>
      <c r="BI88" s="177"/>
      <c r="BJ88" s="177"/>
      <c r="BK88" s="182"/>
      <c r="BL88" s="186"/>
      <c r="BM88" s="184"/>
      <c r="BO88" s="87">
        <v>85</v>
      </c>
      <c r="BP88" s="16"/>
      <c r="BQ88" s="157"/>
      <c r="BR88" s="162"/>
    </row>
    <row r="89" spans="2:70" ht="14.25" customHeight="1" x14ac:dyDescent="0.25">
      <c r="B89" s="16">
        <v>59</v>
      </c>
      <c r="C89" s="95">
        <v>44905</v>
      </c>
      <c r="D89" s="131" t="str">
        <f>IF(L78="","Vinnare match 51",L78)</f>
        <v>Vinnare match 51</v>
      </c>
      <c r="E89" s="132" t="s">
        <v>6</v>
      </c>
      <c r="F89" s="133" t="str">
        <f>IF(L79="","Vinnare match 52",L79)</f>
        <v>Vinnare match 52</v>
      </c>
      <c r="G89" s="62"/>
      <c r="H89" s="87" t="s">
        <v>6</v>
      </c>
      <c r="I89" s="62"/>
      <c r="J89" s="64" t="str">
        <f t="shared" si="157"/>
        <v/>
      </c>
      <c r="L89" s="65"/>
      <c r="M89" s="40"/>
      <c r="N89" s="46"/>
      <c r="O89" s="2"/>
      <c r="P89" s="2"/>
      <c r="X89" s="89" t="s">
        <v>34</v>
      </c>
      <c r="AB89" s="88" t="s">
        <v>35</v>
      </c>
      <c r="AX89" s="177"/>
      <c r="AY89" s="182"/>
      <c r="AZ89" s="177"/>
      <c r="BA89" s="177"/>
      <c r="BB89" s="177"/>
      <c r="BC89" s="181"/>
      <c r="BD89" s="181"/>
      <c r="BE89" s="181"/>
      <c r="BF89" s="181"/>
      <c r="BG89" s="178"/>
      <c r="BH89" s="184"/>
      <c r="BI89" s="177"/>
      <c r="BJ89" s="177"/>
      <c r="BK89" s="182"/>
      <c r="BL89" s="186"/>
      <c r="BM89" s="184"/>
      <c r="BO89" s="87">
        <v>86</v>
      </c>
      <c r="BP89" s="16"/>
      <c r="BQ89" s="157"/>
      <c r="BR89" s="162"/>
    </row>
    <row r="90" spans="2:70" ht="14.25" customHeight="1" x14ac:dyDescent="0.25">
      <c r="B90" s="16">
        <v>60</v>
      </c>
      <c r="C90" s="95">
        <v>44905</v>
      </c>
      <c r="D90" s="131" t="str">
        <f>IF(L82="","Vinnare match 55",L82)</f>
        <v>Vinnare match 55</v>
      </c>
      <c r="E90" s="132" t="s">
        <v>6</v>
      </c>
      <c r="F90" s="133" t="str">
        <f>IF(L83="","Vinnare match 56",L83)</f>
        <v>Vinnare match 56</v>
      </c>
      <c r="G90" s="62"/>
      <c r="H90" s="87" t="s">
        <v>6</v>
      </c>
      <c r="I90" s="62"/>
      <c r="J90" s="64" t="str">
        <f t="shared" si="157"/>
        <v/>
      </c>
      <c r="L90" s="65"/>
      <c r="M90" s="40"/>
      <c r="N90" s="46"/>
      <c r="O90" s="2"/>
      <c r="P90" s="2"/>
      <c r="X90" s="89" t="s">
        <v>36</v>
      </c>
      <c r="AB90" s="88" t="s">
        <v>37</v>
      </c>
      <c r="AX90" s="177"/>
      <c r="AY90" s="182"/>
      <c r="AZ90" s="177"/>
      <c r="BA90" s="177"/>
      <c r="BB90" s="177"/>
      <c r="BC90" s="181"/>
      <c r="BD90" s="181"/>
      <c r="BE90" s="181"/>
      <c r="BF90" s="181"/>
      <c r="BG90" s="178"/>
      <c r="BH90" s="184"/>
      <c r="BI90" s="177"/>
      <c r="BJ90" s="177"/>
      <c r="BK90" s="182"/>
      <c r="BL90" s="186"/>
      <c r="BM90" s="184"/>
      <c r="BO90" s="87">
        <v>87</v>
      </c>
      <c r="BP90" s="16"/>
      <c r="BQ90" s="157"/>
      <c r="BR90" s="162"/>
    </row>
    <row r="91" spans="2:70" ht="14.25" customHeight="1" x14ac:dyDescent="0.25">
      <c r="B91" s="37"/>
      <c r="C91" s="38"/>
      <c r="D91" s="5"/>
      <c r="J91" s="24"/>
      <c r="L91" s="102"/>
      <c r="M91" s="40"/>
      <c r="N91" s="46"/>
      <c r="O91" s="2"/>
      <c r="P91" s="2"/>
      <c r="X91" s="73"/>
      <c r="AX91" s="177"/>
      <c r="AY91" s="182"/>
      <c r="AZ91" s="184"/>
      <c r="BA91" s="181"/>
      <c r="BB91" s="177"/>
      <c r="BC91" s="181"/>
      <c r="BD91" s="181"/>
      <c r="BE91" s="181"/>
      <c r="BF91" s="181"/>
      <c r="BG91" s="178"/>
      <c r="BH91" s="184"/>
      <c r="BI91" s="177"/>
      <c r="BJ91" s="177"/>
      <c r="BK91" s="182"/>
      <c r="BL91" s="186"/>
      <c r="BM91" s="184"/>
      <c r="BO91" s="87">
        <v>88</v>
      </c>
      <c r="BP91" s="16"/>
      <c r="BQ91" s="157"/>
      <c r="BR91" s="162"/>
    </row>
    <row r="92" spans="2:70" ht="14.25" customHeight="1" x14ac:dyDescent="0.25">
      <c r="B92" s="68" t="s">
        <v>39</v>
      </c>
      <c r="C92" s="38"/>
      <c r="D92" s="5"/>
      <c r="J92" s="24"/>
      <c r="L92" s="102"/>
      <c r="M92" s="40"/>
      <c r="N92" s="46"/>
      <c r="O92" s="2"/>
      <c r="P92" s="2"/>
      <c r="X92" s="73"/>
      <c r="AX92" s="175"/>
      <c r="AY92" s="182"/>
      <c r="AZ92" s="184"/>
      <c r="BA92" s="181"/>
      <c r="BB92" s="177"/>
      <c r="BC92" s="181"/>
      <c r="BD92" s="181"/>
      <c r="BE92" s="181"/>
      <c r="BF92" s="181"/>
      <c r="BG92" s="178"/>
      <c r="BH92" s="184"/>
      <c r="BI92" s="177"/>
      <c r="BJ92" s="177"/>
      <c r="BK92" s="182"/>
      <c r="BL92" s="70"/>
      <c r="BM92" s="185"/>
      <c r="BO92" s="87">
        <v>89</v>
      </c>
      <c r="BP92" s="16"/>
      <c r="BQ92" s="157"/>
      <c r="BR92" s="162"/>
    </row>
    <row r="93" spans="2:70" ht="14.25" customHeight="1" x14ac:dyDescent="0.25">
      <c r="B93" s="119" t="s">
        <v>2</v>
      </c>
      <c r="C93" s="112" t="s">
        <v>3</v>
      </c>
      <c r="D93" s="207" t="s">
        <v>2</v>
      </c>
      <c r="E93" s="208"/>
      <c r="F93" s="209"/>
      <c r="G93" s="208" t="s">
        <v>4</v>
      </c>
      <c r="H93" s="208"/>
      <c r="I93" s="208"/>
      <c r="J93" s="28" t="s">
        <v>69</v>
      </c>
      <c r="L93" s="43" t="s">
        <v>109</v>
      </c>
      <c r="M93" s="40" t="s">
        <v>86</v>
      </c>
      <c r="N93" s="24"/>
      <c r="O93" s="2"/>
      <c r="P93" s="2"/>
      <c r="X93" s="108" t="s">
        <v>2</v>
      </c>
      <c r="Y93" s="108"/>
      <c r="Z93" s="108"/>
      <c r="AA93" s="108"/>
      <c r="AB93" s="108"/>
      <c r="AX93" s="175"/>
      <c r="AY93" s="175"/>
      <c r="AZ93" s="206"/>
      <c r="BA93" s="206"/>
      <c r="BB93" s="206"/>
      <c r="BC93" s="206"/>
      <c r="BD93" s="206"/>
      <c r="BE93" s="206"/>
      <c r="BF93" s="179"/>
      <c r="BG93" s="179"/>
      <c r="BH93" s="184"/>
      <c r="BI93" s="185"/>
      <c r="BJ93" s="175"/>
      <c r="BK93" s="183"/>
      <c r="BL93" s="185"/>
      <c r="BM93" s="185"/>
      <c r="BO93" s="87">
        <v>90</v>
      </c>
      <c r="BP93" s="16"/>
      <c r="BQ93" s="157"/>
      <c r="BR93" s="162"/>
    </row>
    <row r="94" spans="2:70" ht="14.25" customHeight="1" x14ac:dyDescent="0.25">
      <c r="B94" s="16">
        <v>61</v>
      </c>
      <c r="C94" s="95">
        <v>44908</v>
      </c>
      <c r="D94" s="131" t="str">
        <f>IF(L87="","Vinnare match 57",L87)</f>
        <v>Vinnare match 57</v>
      </c>
      <c r="E94" s="132" t="s">
        <v>6</v>
      </c>
      <c r="F94" s="133" t="str">
        <f>IF(L88="","Vinnare match 58",L88)</f>
        <v>Vinnare match 58</v>
      </c>
      <c r="G94" s="62"/>
      <c r="H94" s="87" t="s">
        <v>6</v>
      </c>
      <c r="I94" s="62"/>
      <c r="J94" s="64" t="str">
        <f t="shared" ref="J94:J95" si="158">IF(OR(ISBLANK(G94),ISBLANK(I94)),"",IF(G94&gt;I94,1,IF(G94&lt;I94,2,"X")))</f>
        <v/>
      </c>
      <c r="L94" s="65"/>
      <c r="N94" s="156"/>
      <c r="O94" s="40" t="str">
        <f>IF(L94=D94,F94,D94)</f>
        <v>Vinnare match 57</v>
      </c>
      <c r="P94" s="2"/>
      <c r="X94" s="89" t="s">
        <v>40</v>
      </c>
      <c r="AB94" s="88" t="s">
        <v>41</v>
      </c>
      <c r="AX94" s="177"/>
      <c r="AY94" s="182"/>
      <c r="AZ94" s="177"/>
      <c r="BA94" s="177"/>
      <c r="BB94" s="177"/>
      <c r="BC94" s="181"/>
      <c r="BD94" s="181"/>
      <c r="BE94" s="181"/>
      <c r="BF94" s="181"/>
      <c r="BG94" s="178"/>
      <c r="BH94" s="184"/>
      <c r="BI94" s="185"/>
      <c r="BJ94" s="175"/>
      <c r="BK94" s="175"/>
      <c r="BL94" s="175"/>
      <c r="BM94" s="175"/>
      <c r="BO94" s="87">
        <v>91</v>
      </c>
      <c r="BP94" s="16"/>
      <c r="BQ94" s="157"/>
      <c r="BR94" s="162"/>
    </row>
    <row r="95" spans="2:70" ht="14.25" customHeight="1" x14ac:dyDescent="0.25">
      <c r="B95" s="16">
        <v>62</v>
      </c>
      <c r="C95" s="95">
        <v>44909</v>
      </c>
      <c r="D95" s="131" t="str">
        <f>IF(L89="","Vinnare match 59",L89)</f>
        <v>Vinnare match 59</v>
      </c>
      <c r="E95" s="132" t="s">
        <v>6</v>
      </c>
      <c r="F95" s="133" t="str">
        <f>IF(L90="","Vinnare match 60",L90)</f>
        <v>Vinnare match 60</v>
      </c>
      <c r="G95" s="62"/>
      <c r="H95" s="87" t="s">
        <v>6</v>
      </c>
      <c r="I95" s="62"/>
      <c r="J95" s="64" t="str">
        <f t="shared" si="158"/>
        <v/>
      </c>
      <c r="L95" s="65"/>
      <c r="N95" s="46"/>
      <c r="O95" s="40" t="str">
        <f>IF(L95=D95,F95,D95)</f>
        <v>Vinnare match 59</v>
      </c>
      <c r="P95" s="2"/>
      <c r="X95" s="89" t="s">
        <v>43</v>
      </c>
      <c r="AB95" s="88" t="s">
        <v>44</v>
      </c>
      <c r="AX95" s="177"/>
      <c r="AY95" s="182"/>
      <c r="AZ95" s="177"/>
      <c r="BA95" s="177"/>
      <c r="BB95" s="177"/>
      <c r="BC95" s="181"/>
      <c r="BD95" s="181"/>
      <c r="BE95" s="181"/>
      <c r="BF95" s="181"/>
      <c r="BG95" s="178"/>
      <c r="BH95" s="184"/>
      <c r="BI95" s="177"/>
      <c r="BJ95" s="177"/>
      <c r="BK95" s="182"/>
      <c r="BL95" s="186"/>
      <c r="BM95" s="184"/>
      <c r="BO95" s="87">
        <v>92</v>
      </c>
      <c r="BP95" s="16"/>
      <c r="BQ95" s="157"/>
      <c r="BR95" s="162"/>
    </row>
    <row r="96" spans="2:70" ht="14.25" customHeight="1" x14ac:dyDescent="0.25">
      <c r="B96" s="37"/>
      <c r="C96" s="38"/>
      <c r="D96" s="5"/>
      <c r="J96" s="24"/>
      <c r="L96" s="42"/>
      <c r="M96" s="40"/>
      <c r="N96" s="46"/>
      <c r="O96" s="2"/>
      <c r="P96" s="2"/>
      <c r="X96" s="73"/>
      <c r="AX96" s="177"/>
      <c r="AY96" s="182"/>
      <c r="AZ96" s="184"/>
      <c r="BA96" s="181"/>
      <c r="BB96" s="177"/>
      <c r="BC96" s="181"/>
      <c r="BD96" s="181"/>
      <c r="BE96" s="181"/>
      <c r="BF96" s="181"/>
      <c r="BG96" s="178"/>
      <c r="BH96" s="184"/>
      <c r="BI96" s="177"/>
      <c r="BJ96" s="177"/>
      <c r="BK96" s="182"/>
      <c r="BL96" s="186"/>
      <c r="BM96" s="184"/>
      <c r="BO96" s="87">
        <v>93</v>
      </c>
      <c r="BP96" s="16"/>
      <c r="BQ96" s="157"/>
      <c r="BR96" s="162"/>
    </row>
    <row r="97" spans="2:70" ht="14.25" customHeight="1" x14ac:dyDescent="0.25">
      <c r="B97" s="68" t="s">
        <v>45</v>
      </c>
      <c r="C97" s="38"/>
      <c r="D97" s="5"/>
      <c r="J97" s="24"/>
      <c r="L97" s="42"/>
      <c r="M97" s="40"/>
      <c r="N97" s="46"/>
      <c r="O97" s="2"/>
      <c r="P97" s="2"/>
      <c r="X97" s="73"/>
      <c r="AX97" s="175"/>
      <c r="AY97" s="182"/>
      <c r="AZ97" s="184"/>
      <c r="BA97" s="181"/>
      <c r="BB97" s="177"/>
      <c r="BC97" s="181"/>
      <c r="BD97" s="181"/>
      <c r="BE97" s="181"/>
      <c r="BF97" s="181"/>
      <c r="BG97" s="178"/>
      <c r="BH97" s="184"/>
      <c r="BI97" s="177"/>
      <c r="BJ97" s="177"/>
      <c r="BK97" s="182"/>
      <c r="BL97" s="186"/>
      <c r="BM97" s="184"/>
      <c r="BO97" s="87">
        <v>94</v>
      </c>
      <c r="BP97" s="16"/>
      <c r="BQ97" s="157"/>
      <c r="BR97" s="162"/>
    </row>
    <row r="98" spans="2:70" ht="14.25" customHeight="1" x14ac:dyDescent="0.25">
      <c r="B98" s="119" t="s">
        <v>2</v>
      </c>
      <c r="C98" s="112" t="s">
        <v>3</v>
      </c>
      <c r="D98" s="207" t="s">
        <v>2</v>
      </c>
      <c r="E98" s="208"/>
      <c r="F98" s="208"/>
      <c r="G98" s="221" t="s">
        <v>4</v>
      </c>
      <c r="H98" s="208"/>
      <c r="I98" s="214"/>
      <c r="J98" s="28" t="s">
        <v>69</v>
      </c>
      <c r="L98" s="43" t="s">
        <v>143</v>
      </c>
      <c r="M98" s="40"/>
      <c r="N98" s="24"/>
      <c r="O98" s="2"/>
      <c r="P98" s="2"/>
      <c r="X98" s="108" t="s">
        <v>2</v>
      </c>
      <c r="Y98" s="108"/>
      <c r="Z98" s="108"/>
      <c r="AA98" s="108"/>
      <c r="AB98" s="108"/>
      <c r="AX98" s="175"/>
      <c r="AY98" s="175"/>
      <c r="AZ98" s="206"/>
      <c r="BA98" s="206"/>
      <c r="BB98" s="206"/>
      <c r="BC98" s="206"/>
      <c r="BD98" s="206"/>
      <c r="BE98" s="206"/>
      <c r="BF98" s="179"/>
      <c r="BG98" s="179"/>
      <c r="BH98" s="184"/>
      <c r="BI98" s="177"/>
      <c r="BJ98" s="177"/>
      <c r="BK98" s="182"/>
      <c r="BL98" s="186"/>
      <c r="BM98" s="184"/>
      <c r="BO98" s="87">
        <v>95</v>
      </c>
      <c r="BP98" s="16"/>
      <c r="BQ98" s="157"/>
      <c r="BR98" s="162"/>
    </row>
    <row r="99" spans="2:70" ht="14.25" customHeight="1" x14ac:dyDescent="0.25">
      <c r="B99" s="16">
        <v>63</v>
      </c>
      <c r="C99" s="95">
        <v>44912</v>
      </c>
      <c r="D99" s="131" t="str">
        <f>IF(L94="","Förlorare match 61",O94)</f>
        <v>Förlorare match 61</v>
      </c>
      <c r="E99" s="132" t="s">
        <v>6</v>
      </c>
      <c r="F99" s="133" t="str">
        <f>IF(L95="","Förlorare match 62",O95)</f>
        <v>Förlorare match 62</v>
      </c>
      <c r="G99" s="62"/>
      <c r="H99" s="87" t="s">
        <v>6</v>
      </c>
      <c r="I99" s="62"/>
      <c r="J99" s="64" t="str">
        <f>IF(OR(ISBLANK(G99),ISBLANK(I99)),"",IF(G99&gt;I99,1,IF(G99&lt;I99,2,"X")))</f>
        <v/>
      </c>
      <c r="L99" s="65"/>
      <c r="M99" s="40"/>
      <c r="N99" s="156"/>
      <c r="O99" s="2"/>
      <c r="P99" s="2"/>
      <c r="X99" s="89" t="s">
        <v>46</v>
      </c>
      <c r="AB99" s="88" t="s">
        <v>47</v>
      </c>
      <c r="AX99" s="177"/>
      <c r="AY99" s="182"/>
      <c r="AZ99" s="177"/>
      <c r="BA99" s="177"/>
      <c r="BB99" s="177"/>
      <c r="BC99" s="181"/>
      <c r="BD99" s="181"/>
      <c r="BE99" s="181"/>
      <c r="BF99" s="181"/>
      <c r="BG99" s="178"/>
      <c r="BH99" s="184"/>
      <c r="BI99" s="177"/>
      <c r="BJ99" s="177"/>
      <c r="BK99" s="182"/>
      <c r="BL99" s="186"/>
      <c r="BM99" s="184"/>
      <c r="BO99" s="87">
        <v>96</v>
      </c>
      <c r="BP99" s="16"/>
      <c r="BQ99" s="157"/>
      <c r="BR99" s="162"/>
    </row>
    <row r="100" spans="2:70" ht="14.25" customHeight="1" x14ac:dyDescent="0.25">
      <c r="B100" s="37"/>
      <c r="C100" s="38"/>
      <c r="D100" s="5"/>
      <c r="J100" s="24"/>
      <c r="L100" s="45"/>
      <c r="M100" s="40"/>
      <c r="N100" s="46"/>
      <c r="O100" s="2"/>
      <c r="P100" s="2"/>
      <c r="X100" s="73"/>
      <c r="AX100" s="177"/>
      <c r="AY100" s="182"/>
      <c r="AZ100" s="184"/>
      <c r="BA100" s="181"/>
      <c r="BB100" s="177"/>
      <c r="BC100" s="181"/>
      <c r="BD100" s="181"/>
      <c r="BE100" s="181"/>
      <c r="BF100" s="181"/>
      <c r="BG100" s="178"/>
      <c r="BH100" s="184"/>
      <c r="BI100" s="177"/>
      <c r="BJ100" s="177"/>
      <c r="BK100" s="182"/>
      <c r="BL100" s="186"/>
      <c r="BM100" s="184"/>
      <c r="BO100" s="87">
        <v>97</v>
      </c>
      <c r="BP100" s="16"/>
      <c r="BQ100" s="157"/>
      <c r="BR100" s="162"/>
    </row>
    <row r="101" spans="2:70" ht="14.25" customHeight="1" x14ac:dyDescent="0.25">
      <c r="B101" s="68" t="s">
        <v>49</v>
      </c>
      <c r="C101" s="104"/>
      <c r="D101" s="26"/>
      <c r="E101" s="27"/>
      <c r="F101" s="68"/>
      <c r="G101" s="27"/>
      <c r="H101" s="27"/>
      <c r="I101" s="27"/>
      <c r="J101" s="24"/>
      <c r="L101" s="45"/>
      <c r="M101" s="40"/>
      <c r="N101" s="46"/>
      <c r="O101" s="2"/>
      <c r="P101" s="2"/>
      <c r="X101" s="108"/>
      <c r="Y101" s="71"/>
      <c r="Z101" s="71"/>
      <c r="AA101" s="71"/>
      <c r="AB101" s="70"/>
      <c r="AX101" s="175"/>
      <c r="AY101" s="183"/>
      <c r="AZ101" s="185"/>
      <c r="BA101" s="179"/>
      <c r="BB101" s="175"/>
      <c r="BC101" s="179"/>
      <c r="BD101" s="179"/>
      <c r="BE101" s="179"/>
      <c r="BF101" s="179"/>
      <c r="BG101" s="178"/>
      <c r="BH101" s="184"/>
      <c r="BI101" s="177"/>
      <c r="BJ101" s="177"/>
      <c r="BK101" s="182"/>
      <c r="BL101" s="186"/>
      <c r="BM101" s="184"/>
      <c r="BO101" s="87">
        <v>98</v>
      </c>
      <c r="BP101" s="16"/>
      <c r="BQ101" s="157"/>
      <c r="BR101" s="162"/>
    </row>
    <row r="102" spans="2:70" ht="14.25" customHeight="1" x14ac:dyDescent="0.25">
      <c r="B102" s="119" t="s">
        <v>2</v>
      </c>
      <c r="C102" s="112" t="s">
        <v>3</v>
      </c>
      <c r="D102" s="207" t="s">
        <v>2</v>
      </c>
      <c r="E102" s="208"/>
      <c r="F102" s="209"/>
      <c r="G102" s="208" t="s">
        <v>4</v>
      </c>
      <c r="H102" s="208"/>
      <c r="I102" s="208"/>
      <c r="J102" s="28" t="s">
        <v>69</v>
      </c>
      <c r="L102" s="43" t="s">
        <v>144</v>
      </c>
      <c r="M102" s="40"/>
      <c r="N102" s="24"/>
      <c r="O102" s="2"/>
      <c r="P102" s="2"/>
      <c r="X102" s="108" t="s">
        <v>2</v>
      </c>
      <c r="Y102" s="108"/>
      <c r="Z102" s="108"/>
      <c r="AA102" s="108"/>
      <c r="AB102" s="108"/>
      <c r="AX102" s="175"/>
      <c r="AY102" s="175"/>
      <c r="AZ102" s="206"/>
      <c r="BA102" s="206"/>
      <c r="BB102" s="206"/>
      <c r="BC102" s="206"/>
      <c r="BD102" s="206"/>
      <c r="BE102" s="206"/>
      <c r="BF102" s="179"/>
      <c r="BG102" s="179"/>
      <c r="BH102" s="184"/>
      <c r="BI102" s="177"/>
      <c r="BJ102" s="177"/>
      <c r="BK102" s="182"/>
      <c r="BL102" s="186"/>
      <c r="BM102" s="184"/>
      <c r="BO102" s="87">
        <v>99</v>
      </c>
      <c r="BP102" s="16"/>
      <c r="BQ102" s="157"/>
      <c r="BR102" s="162"/>
    </row>
    <row r="103" spans="2:70" ht="14.25" customHeight="1" x14ac:dyDescent="0.25">
      <c r="B103" s="143">
        <v>64</v>
      </c>
      <c r="C103" s="144">
        <v>44913</v>
      </c>
      <c r="D103" s="131" t="str">
        <f>IF(L94="","Vinnare match 61",L94)</f>
        <v>Vinnare match 61</v>
      </c>
      <c r="E103" s="132" t="s">
        <v>6</v>
      </c>
      <c r="F103" s="133" t="str">
        <f>IF(L95="","Vinnare match 62",L95)</f>
        <v>Vinnare match 62</v>
      </c>
      <c r="G103" s="62"/>
      <c r="H103" s="87" t="s">
        <v>6</v>
      </c>
      <c r="I103" s="62"/>
      <c r="J103" s="64" t="str">
        <f>IF(OR(ISBLANK(G103),ISBLANK(I103)),"",IF(G103&gt;I103,1,IF(G103&lt;I103,2,"X")))</f>
        <v/>
      </c>
      <c r="L103" s="65"/>
      <c r="M103" s="40"/>
      <c r="N103" s="156"/>
      <c r="O103" s="2"/>
      <c r="P103" s="2"/>
      <c r="X103" s="89" t="s">
        <v>52</v>
      </c>
      <c r="AB103" s="88" t="s">
        <v>53</v>
      </c>
      <c r="AX103" s="177"/>
      <c r="AY103" s="182"/>
      <c r="AZ103" s="177"/>
      <c r="BA103" s="177"/>
      <c r="BB103" s="177"/>
      <c r="BC103" s="181"/>
      <c r="BD103" s="181"/>
      <c r="BE103" s="181"/>
      <c r="BF103" s="181"/>
      <c r="BG103" s="178"/>
      <c r="BH103" s="184"/>
      <c r="BI103" s="177"/>
      <c r="BJ103" s="177"/>
      <c r="BK103" s="183"/>
      <c r="BL103" s="70"/>
      <c r="BM103" s="185"/>
      <c r="BO103" s="87">
        <v>100</v>
      </c>
      <c r="BP103" s="16"/>
      <c r="BQ103" s="157"/>
      <c r="BR103" s="162"/>
    </row>
    <row r="104" spans="2:70" ht="14.25" customHeight="1" x14ac:dyDescent="0.25">
      <c r="AX104" s="177"/>
      <c r="AY104" s="177"/>
      <c r="AZ104" s="177"/>
      <c r="BA104" s="181"/>
      <c r="BB104" s="177"/>
      <c r="BC104" s="181"/>
      <c r="BD104" s="181"/>
      <c r="BE104" s="181"/>
      <c r="BF104" s="181"/>
      <c r="BG104" s="176"/>
      <c r="BH104" s="184"/>
      <c r="BI104" s="185"/>
      <c r="BJ104" s="175"/>
      <c r="BK104" s="183"/>
      <c r="BL104" s="185"/>
      <c r="BM104" s="185"/>
    </row>
    <row r="105" spans="2:70" ht="14.25" customHeight="1" x14ac:dyDescent="0.25">
      <c r="AX105" s="177"/>
      <c r="AY105" s="177"/>
      <c r="AZ105" s="177"/>
      <c r="BA105" s="181"/>
      <c r="BB105" s="177"/>
      <c r="BC105" s="181"/>
      <c r="BD105" s="181"/>
      <c r="BE105" s="181"/>
      <c r="BF105" s="181"/>
      <c r="BG105" s="176"/>
      <c r="BH105" s="184"/>
      <c r="BI105" s="185"/>
      <c r="BJ105" s="175"/>
      <c r="BK105" s="175"/>
      <c r="BL105" s="175"/>
      <c r="BM105" s="175"/>
    </row>
    <row r="106" spans="2:70" ht="14.25" customHeight="1" x14ac:dyDescent="0.25">
      <c r="AX106" s="177"/>
      <c r="AY106" s="177"/>
      <c r="AZ106" s="177"/>
      <c r="BA106" s="181"/>
      <c r="BB106" s="177"/>
      <c r="BC106" s="181"/>
      <c r="BD106" s="181"/>
      <c r="BE106" s="181"/>
      <c r="BF106" s="181"/>
      <c r="BG106" s="176"/>
      <c r="BH106" s="184"/>
      <c r="BI106" s="184"/>
      <c r="BJ106" s="177"/>
      <c r="BK106" s="182"/>
      <c r="BL106" s="186"/>
      <c r="BM106" s="184"/>
    </row>
    <row r="107" spans="2:70" ht="14.25" customHeight="1" x14ac:dyDescent="0.25">
      <c r="AX107" s="177"/>
      <c r="AY107" s="177"/>
      <c r="AZ107" s="177"/>
      <c r="BA107" s="181"/>
      <c r="BB107" s="177"/>
      <c r="BC107" s="181"/>
      <c r="BD107" s="181"/>
      <c r="BE107" s="181"/>
      <c r="BF107" s="181"/>
      <c r="BG107" s="176"/>
      <c r="BH107" s="184"/>
      <c r="BI107" s="184"/>
      <c r="BJ107" s="177"/>
      <c r="BK107" s="182"/>
      <c r="BL107" s="186"/>
      <c r="BM107" s="184"/>
    </row>
    <row r="108" spans="2:70" ht="14.25" customHeight="1" x14ac:dyDescent="0.25">
      <c r="AX108" s="177"/>
      <c r="AY108" s="177"/>
      <c r="AZ108" s="177"/>
      <c r="BA108" s="181"/>
      <c r="BB108" s="177"/>
      <c r="BC108" s="181"/>
      <c r="BD108" s="181"/>
      <c r="BE108" s="181"/>
      <c r="BF108" s="181"/>
      <c r="BG108" s="176"/>
      <c r="BH108" s="184"/>
      <c r="BI108" s="184"/>
      <c r="BJ108" s="177"/>
      <c r="BK108" s="182"/>
      <c r="BL108" s="186"/>
      <c r="BM108" s="184"/>
    </row>
    <row r="109" spans="2:70" ht="14.25" customHeight="1" x14ac:dyDescent="0.25">
      <c r="AX109" s="177"/>
      <c r="AY109" s="177"/>
      <c r="AZ109" s="177"/>
      <c r="BA109" s="181"/>
      <c r="BB109" s="177"/>
      <c r="BC109" s="181"/>
      <c r="BD109" s="181"/>
      <c r="BE109" s="181"/>
      <c r="BF109" s="181"/>
      <c r="BG109" s="176"/>
      <c r="BH109" s="184"/>
      <c r="BI109" s="184"/>
      <c r="BJ109" s="177"/>
      <c r="BK109" s="182"/>
      <c r="BL109" s="186"/>
      <c r="BM109" s="184"/>
    </row>
    <row r="110" spans="2:70" ht="14.25" customHeight="1" x14ac:dyDescent="0.25">
      <c r="AX110" s="177"/>
      <c r="AY110" s="177"/>
      <c r="AZ110" s="177"/>
      <c r="BA110" s="181"/>
      <c r="BB110" s="177"/>
      <c r="BC110" s="181"/>
      <c r="BD110" s="181"/>
      <c r="BE110" s="181"/>
      <c r="BF110" s="181"/>
      <c r="BG110" s="176"/>
      <c r="BH110" s="184"/>
      <c r="BI110" s="184"/>
      <c r="BJ110" s="177"/>
      <c r="BK110" s="182"/>
      <c r="BL110" s="70"/>
      <c r="BM110" s="185"/>
    </row>
    <row r="111" spans="2:70" ht="14.25" customHeight="1" x14ac:dyDescent="0.25">
      <c r="AX111" s="177"/>
      <c r="AY111" s="177"/>
      <c r="AZ111" s="177"/>
      <c r="BA111" s="181"/>
      <c r="BB111" s="177"/>
      <c r="BC111" s="181"/>
      <c r="BD111" s="181"/>
      <c r="BE111" s="181"/>
      <c r="BF111" s="181"/>
      <c r="BG111" s="176"/>
      <c r="BH111" s="184"/>
      <c r="BI111" s="185"/>
      <c r="BJ111" s="175"/>
      <c r="BK111" s="183"/>
      <c r="BL111" s="185"/>
      <c r="BM111" s="185"/>
    </row>
    <row r="112" spans="2:70" ht="14.25" customHeight="1" x14ac:dyDescent="0.25">
      <c r="AX112" s="177"/>
      <c r="AY112" s="177"/>
      <c r="AZ112" s="177"/>
      <c r="BA112" s="181"/>
      <c r="BB112" s="177"/>
      <c r="BC112" s="181"/>
      <c r="BD112" s="181"/>
      <c r="BE112" s="181"/>
      <c r="BF112" s="181"/>
      <c r="BG112" s="176"/>
      <c r="BH112" s="184"/>
      <c r="BI112" s="185"/>
      <c r="BJ112" s="175"/>
      <c r="BK112" s="175"/>
      <c r="BL112" s="175"/>
      <c r="BM112" s="175"/>
    </row>
    <row r="113" spans="50:65" ht="14.25" customHeight="1" x14ac:dyDescent="0.25">
      <c r="AX113" s="177"/>
      <c r="AY113" s="177"/>
      <c r="AZ113" s="177"/>
      <c r="BA113" s="181"/>
      <c r="BB113" s="177"/>
      <c r="BC113" s="181"/>
      <c r="BD113" s="181"/>
      <c r="BE113" s="181"/>
      <c r="BF113" s="181"/>
      <c r="BG113" s="176"/>
      <c r="BH113" s="184"/>
      <c r="BI113" s="184"/>
      <c r="BJ113" s="177"/>
      <c r="BK113" s="182"/>
      <c r="BL113" s="186"/>
      <c r="BM113" s="184"/>
    </row>
    <row r="114" spans="50:65" ht="14.25" customHeight="1" x14ac:dyDescent="0.25">
      <c r="AX114" s="177"/>
      <c r="AY114" s="177"/>
      <c r="AZ114" s="177"/>
      <c r="BA114" s="181"/>
      <c r="BB114" s="177"/>
      <c r="BC114" s="181"/>
      <c r="BD114" s="181"/>
      <c r="BE114" s="181"/>
      <c r="BF114" s="181"/>
      <c r="BG114" s="176"/>
      <c r="BH114" s="184"/>
      <c r="BI114" s="184"/>
      <c r="BJ114" s="177"/>
      <c r="BK114" s="182"/>
      <c r="BL114" s="186"/>
      <c r="BM114" s="184"/>
    </row>
    <row r="115" spans="50:65" ht="14.25" customHeight="1" x14ac:dyDescent="0.25">
      <c r="AX115" s="177"/>
      <c r="AY115" s="177"/>
      <c r="AZ115" s="177"/>
      <c r="BA115" s="181"/>
      <c r="BB115" s="177"/>
      <c r="BC115" s="181"/>
      <c r="BD115" s="181"/>
      <c r="BE115" s="181"/>
      <c r="BF115" s="181"/>
      <c r="BG115" s="176"/>
      <c r="BH115" s="184"/>
      <c r="BI115" s="184"/>
      <c r="BJ115" s="177"/>
      <c r="BK115" s="182"/>
      <c r="BL115" s="70"/>
      <c r="BM115" s="185"/>
    </row>
    <row r="116" spans="50:65" ht="14.25" customHeight="1" x14ac:dyDescent="0.25">
      <c r="AX116" s="177"/>
      <c r="AY116" s="177"/>
      <c r="AZ116" s="177"/>
      <c r="BA116" s="181"/>
      <c r="BB116" s="177"/>
      <c r="BC116" s="181"/>
      <c r="BD116" s="181"/>
      <c r="BE116" s="181"/>
      <c r="BF116" s="181"/>
      <c r="BG116" s="176"/>
      <c r="BH116" s="184"/>
      <c r="BI116" s="185"/>
      <c r="BJ116" s="175"/>
      <c r="BK116" s="183"/>
      <c r="BL116" s="185"/>
      <c r="BM116" s="185"/>
    </row>
    <row r="117" spans="50:65" ht="14.25" customHeight="1" x14ac:dyDescent="0.25">
      <c r="AX117" s="177"/>
      <c r="AY117" s="177"/>
      <c r="AZ117" s="177"/>
      <c r="BA117" s="181"/>
      <c r="BB117" s="177"/>
      <c r="BC117" s="181"/>
      <c r="BD117" s="181"/>
      <c r="BE117" s="181"/>
      <c r="BF117" s="181"/>
      <c r="BG117" s="176"/>
      <c r="BH117" s="184"/>
      <c r="BI117" s="185"/>
      <c r="BJ117" s="175"/>
      <c r="BK117" s="175"/>
      <c r="BL117" s="175"/>
      <c r="BM117" s="175"/>
    </row>
    <row r="118" spans="50:65" ht="14.25" customHeight="1" x14ac:dyDescent="0.25">
      <c r="AX118" s="177"/>
      <c r="AY118" s="177"/>
      <c r="AZ118" s="177"/>
      <c r="BA118" s="181"/>
      <c r="BB118" s="177"/>
      <c r="BC118" s="181"/>
      <c r="BD118" s="181"/>
      <c r="BE118" s="181"/>
      <c r="BF118" s="181"/>
      <c r="BG118" s="176"/>
      <c r="BH118" s="184"/>
      <c r="BI118" s="184"/>
      <c r="BJ118" s="177"/>
      <c r="BK118" s="182"/>
      <c r="BL118" s="186"/>
      <c r="BM118" s="184"/>
    </row>
    <row r="119" spans="50:65" ht="14.25" customHeight="1" x14ac:dyDescent="0.25">
      <c r="AX119" s="177"/>
      <c r="AY119" s="177"/>
      <c r="AZ119" s="177"/>
      <c r="BA119" s="181"/>
      <c r="BB119" s="177"/>
      <c r="BC119" s="181"/>
      <c r="BD119" s="181"/>
      <c r="BE119" s="181"/>
      <c r="BF119" s="181"/>
      <c r="BG119" s="176"/>
      <c r="BH119" s="184"/>
      <c r="BI119" s="184"/>
      <c r="BJ119" s="177"/>
      <c r="BK119" s="182"/>
      <c r="BL119" s="186"/>
      <c r="BM119" s="184"/>
    </row>
    <row r="120" spans="50:65" ht="14.25" customHeight="1" x14ac:dyDescent="0.25">
      <c r="AX120" s="177"/>
      <c r="AY120" s="177"/>
      <c r="AZ120" s="177"/>
      <c r="BA120" s="181"/>
      <c r="BB120" s="177"/>
      <c r="BC120" s="181"/>
      <c r="BD120" s="181"/>
      <c r="BE120" s="181"/>
      <c r="BF120" s="181"/>
      <c r="BG120" s="176"/>
      <c r="BH120" s="184"/>
      <c r="BI120" s="184"/>
      <c r="BJ120" s="177"/>
      <c r="BK120" s="182"/>
      <c r="BL120" s="70"/>
      <c r="BM120" s="185"/>
    </row>
    <row r="121" spans="50:65" ht="14.25" customHeight="1" x14ac:dyDescent="0.25">
      <c r="AX121" s="177"/>
      <c r="AY121" s="177"/>
      <c r="AZ121" s="177"/>
      <c r="BA121" s="181"/>
      <c r="BB121" s="177"/>
      <c r="BC121" s="181"/>
      <c r="BD121" s="181"/>
      <c r="BE121" s="181"/>
      <c r="BF121" s="181"/>
      <c r="BG121" s="176"/>
      <c r="BH121" s="184"/>
      <c r="BI121" s="184"/>
      <c r="BJ121" s="177"/>
      <c r="BK121" s="182"/>
      <c r="BL121" s="184"/>
      <c r="BM121" s="184"/>
    </row>
    <row r="122" spans="50:65" ht="14.25" customHeight="1" x14ac:dyDescent="0.25">
      <c r="AX122" s="177"/>
      <c r="AY122" s="177"/>
      <c r="AZ122" s="177"/>
      <c r="BA122" s="181"/>
      <c r="BB122" s="177"/>
      <c r="BC122" s="181"/>
      <c r="BD122" s="181"/>
      <c r="BE122" s="181"/>
      <c r="BF122" s="181"/>
      <c r="BG122" s="176"/>
      <c r="BH122" s="184"/>
      <c r="BI122" s="184"/>
      <c r="BJ122" s="177"/>
      <c r="BK122" s="182"/>
      <c r="BL122" s="184"/>
      <c r="BM122" s="184"/>
    </row>
  </sheetData>
  <sheetProtection algorithmName="SHA-512" hashValue="2yWxmb5LFlV1iU7rDTdLvCCXNHj2eDK6f8MBzic2tRxbJqOsvH97PyVM3heApXrXVJJ5+aQ97WHYeJFwbBQF+Q==" saltValue="ERDkYmrrwJOS2qrCQb5toA==" spinCount="100000" sheet="1" sort="0" autoFilter="0"/>
  <autoFilter ref="BQ3:BR3" xr:uid="{00000000-0009-0000-0000-000001000000}">
    <sortState xmlns:xlrd2="http://schemas.microsoft.com/office/spreadsheetml/2017/richdata2" ref="BQ4:BR5">
      <sortCondition ref="BR3"/>
    </sortState>
  </autoFilter>
  <sortState xmlns:xlrd2="http://schemas.microsoft.com/office/spreadsheetml/2017/richdata2" ref="BQ4:BR10">
    <sortCondition descending="1" ref="BR4"/>
  </sortState>
  <dataConsolidate/>
  <mergeCells count="54">
    <mergeCell ref="AZ30:BB30"/>
    <mergeCell ref="BC66:BE66"/>
    <mergeCell ref="BC57:BE57"/>
    <mergeCell ref="BC48:BE48"/>
    <mergeCell ref="BC39:BE39"/>
    <mergeCell ref="BC30:BE30"/>
    <mergeCell ref="BC86:BE86"/>
    <mergeCell ref="AZ86:BB86"/>
    <mergeCell ref="BC75:BE75"/>
    <mergeCell ref="AZ75:BB75"/>
    <mergeCell ref="AI75:AK75"/>
    <mergeCell ref="BC102:BE102"/>
    <mergeCell ref="AZ102:BB102"/>
    <mergeCell ref="BC98:BE98"/>
    <mergeCell ref="AZ98:BB98"/>
    <mergeCell ref="BC93:BE93"/>
    <mergeCell ref="AZ93:BB93"/>
    <mergeCell ref="D102:F102"/>
    <mergeCell ref="G102:I102"/>
    <mergeCell ref="D39:F39"/>
    <mergeCell ref="D66:F66"/>
    <mergeCell ref="D57:F57"/>
    <mergeCell ref="D48:F48"/>
    <mergeCell ref="D93:F93"/>
    <mergeCell ref="G93:I93"/>
    <mergeCell ref="D98:F98"/>
    <mergeCell ref="G98:I98"/>
    <mergeCell ref="D75:F75"/>
    <mergeCell ref="G75:I75"/>
    <mergeCell ref="D86:F86"/>
    <mergeCell ref="G86:I86"/>
    <mergeCell ref="N76:S83"/>
    <mergeCell ref="G48:I48"/>
    <mergeCell ref="G57:I57"/>
    <mergeCell ref="G66:I66"/>
    <mergeCell ref="D30:F30"/>
    <mergeCell ref="G30:I30"/>
    <mergeCell ref="G39:I39"/>
    <mergeCell ref="BC3:BE3"/>
    <mergeCell ref="D21:F21"/>
    <mergeCell ref="G21:I21"/>
    <mergeCell ref="AZ21:BB21"/>
    <mergeCell ref="BC21:BE21"/>
    <mergeCell ref="S5:V5"/>
    <mergeCell ref="D12:F12"/>
    <mergeCell ref="G12:I12"/>
    <mergeCell ref="AZ12:BB12"/>
    <mergeCell ref="BC12:BE12"/>
    <mergeCell ref="S4:V4"/>
    <mergeCell ref="D3:F3"/>
    <mergeCell ref="G3:I3"/>
    <mergeCell ref="S3:V3"/>
    <mergeCell ref="AZ3:BB3"/>
    <mergeCell ref="S6:V6"/>
  </mergeCells>
  <dataValidations disablePrompts="1" count="1">
    <dataValidation type="list" allowBlank="1" showInputMessage="1" showErrorMessage="1" sqref="L76:L83 L87:L90 L94:L95 L99 L103" xr:uid="{D4A12794-1F76-4B3C-B8DD-53BE5EB494E8}">
      <formula1>D76:F76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A91A8-0190-449C-8CB7-DD4A1945A940}">
  <sheetPr codeName="Sheet14"/>
  <dimension ref="B1:BP120"/>
  <sheetViews>
    <sheetView showGridLines="0" zoomScaleNormal="100" zoomScaleSheetLayoutView="90" workbookViewId="0">
      <selection activeCell="U37" sqref="U37"/>
    </sheetView>
  </sheetViews>
  <sheetFormatPr defaultColWidth="9.140625" defaultRowHeight="14.25" customHeight="1" x14ac:dyDescent="0.25"/>
  <cols>
    <col min="1" max="1" width="2.85546875" style="5" customWidth="1"/>
    <col min="2" max="2" width="5.85546875" style="69" customWidth="1"/>
    <col min="3" max="3" width="6.28515625" style="37" bestFit="1" customWidth="1"/>
    <col min="4" max="4" width="17.7109375" style="37" customWidth="1"/>
    <col min="5" max="5" width="1.5703125" style="23" bestFit="1" customWidth="1"/>
    <col min="6" max="6" width="17.7109375" style="37" customWidth="1"/>
    <col min="7" max="7" width="4.85546875" style="23" customWidth="1"/>
    <col min="8" max="8" width="1.5703125" style="23" bestFit="1" customWidth="1"/>
    <col min="9" max="9" width="4.85546875" style="23" customWidth="1"/>
    <col min="10" max="11" width="6.42578125" style="1" customWidth="1"/>
    <col min="12" max="12" width="5.85546875" style="2" customWidth="1"/>
    <col min="13" max="13" width="20.5703125" style="5" bestFit="1" customWidth="1"/>
    <col min="14" max="14" width="5.7109375" style="37" customWidth="1"/>
    <col min="15" max="15" width="6.7109375" style="38" bestFit="1" customWidth="1"/>
    <col min="16" max="17" width="5.7109375" style="5" customWidth="1"/>
    <col min="18" max="18" width="5.85546875" style="5" customWidth="1"/>
    <col min="19" max="19" width="17" style="23" customWidth="1"/>
    <col min="20" max="21" width="6.7109375" style="23" customWidth="1"/>
    <col min="22" max="22" width="19.42578125" style="23" customWidth="1"/>
    <col min="23" max="23" width="13.42578125" style="124" customWidth="1"/>
    <col min="24" max="24" width="6.42578125" style="5" customWidth="1"/>
    <col min="25" max="25" width="5.7109375" style="5" customWidth="1"/>
    <col min="26" max="26" width="16.28515625" style="88" hidden="1" customWidth="1"/>
    <col min="27" max="27" width="7.140625" style="89" hidden="1" customWidth="1"/>
    <col min="28" max="29" width="5.7109375" style="89" hidden="1" customWidth="1"/>
    <col min="30" max="30" width="16.28515625" style="88" hidden="1" customWidth="1"/>
    <col min="31" max="31" width="7.140625" style="72" hidden="1" customWidth="1"/>
    <col min="32" max="32" width="5.42578125" style="73" hidden="1" customWidth="1"/>
    <col min="33" max="33" width="4.7109375" style="73" hidden="1" customWidth="1"/>
    <col min="34" max="38" width="9.140625" style="72" hidden="1" customWidth="1"/>
    <col min="39" max="39" width="9.85546875" style="72" hidden="1" customWidth="1"/>
    <col min="40" max="40" width="13.85546875" style="72" hidden="1" customWidth="1"/>
    <col min="41" max="41" width="5.7109375" style="72" hidden="1" customWidth="1"/>
    <col min="42" max="42" width="3.85546875" style="72" hidden="1" customWidth="1"/>
    <col min="43" max="43" width="3.28515625" style="72" hidden="1" customWidth="1"/>
    <col min="44" max="44" width="3.7109375" style="72" hidden="1" customWidth="1"/>
    <col min="45" max="45" width="9.140625" style="72" hidden="1" customWidth="1"/>
    <col min="46" max="46" width="4.85546875" style="72" hidden="1" customWidth="1"/>
    <col min="47" max="47" width="13.85546875" style="72" hidden="1" customWidth="1"/>
    <col min="48" max="48" width="5.7109375" style="72" hidden="1" customWidth="1"/>
    <col min="49" max="51" width="4.7109375" style="72" hidden="1" customWidth="1"/>
    <col min="52" max="52" width="5.85546875" style="45" hidden="1" customWidth="1"/>
    <col min="53" max="53" width="6.28515625" style="42" hidden="1" customWidth="1"/>
    <col min="54" max="54" width="16.28515625" style="42" hidden="1" customWidth="1"/>
    <col min="55" max="55" width="1.5703125" style="102" hidden="1" customWidth="1"/>
    <col min="56" max="56" width="16.28515625" style="42" hidden="1" customWidth="1"/>
    <col min="57" max="57" width="4.85546875" style="102" hidden="1" customWidth="1"/>
    <col min="58" max="58" width="1.5703125" style="102" hidden="1" customWidth="1"/>
    <col min="59" max="59" width="4.85546875" style="102" hidden="1" customWidth="1"/>
    <col min="60" max="60" width="6.42578125" style="102" hidden="1" customWidth="1"/>
    <col min="61" max="61" width="6.42578125" style="77" hidden="1" customWidth="1"/>
    <col min="62" max="62" width="5.85546875" style="78" hidden="1" customWidth="1"/>
    <col min="63" max="63" width="28.85546875" style="79" hidden="1" customWidth="1"/>
    <col min="64" max="64" width="34" style="45" hidden="1" customWidth="1"/>
    <col min="65" max="65" width="18.7109375" style="125" hidden="1" customWidth="1"/>
    <col min="66" max="66" width="16.28515625" style="78" hidden="1" customWidth="1"/>
    <col min="67" max="67" width="14.28515625" style="78" hidden="1" customWidth="1"/>
    <col min="68" max="68" width="13.85546875" style="5" hidden="1" customWidth="1"/>
    <col min="69" max="70" width="5.7109375" style="5" customWidth="1"/>
    <col min="71" max="72" width="9.140625" style="5" customWidth="1"/>
    <col min="73" max="16384" width="9.140625" style="5"/>
  </cols>
  <sheetData>
    <row r="1" spans="2:67" ht="14.25" customHeight="1" x14ac:dyDescent="0.25">
      <c r="AZ1" s="177"/>
      <c r="BA1" s="177"/>
      <c r="BB1" s="177"/>
      <c r="BC1" s="181"/>
      <c r="BD1" s="177"/>
      <c r="BE1" s="181"/>
      <c r="BF1" s="181"/>
      <c r="BG1" s="181"/>
      <c r="BH1" s="181"/>
      <c r="BI1" s="176"/>
      <c r="BK1" s="184"/>
      <c r="BL1" s="177"/>
      <c r="BM1" s="182"/>
      <c r="BN1" s="184"/>
    </row>
    <row r="2" spans="2:67" ht="14.25" customHeight="1" x14ac:dyDescent="0.25">
      <c r="B2" s="67" t="s">
        <v>0</v>
      </c>
      <c r="C2" s="68"/>
      <c r="D2" s="68"/>
      <c r="E2" s="27"/>
      <c r="F2" s="68"/>
      <c r="G2" s="27"/>
      <c r="H2" s="27"/>
      <c r="I2" s="27"/>
      <c r="M2" s="3"/>
      <c r="N2" s="4"/>
      <c r="O2" s="4"/>
      <c r="P2" s="4"/>
      <c r="Q2" s="4"/>
      <c r="S2" s="6" t="s">
        <v>70</v>
      </c>
      <c r="T2" s="6"/>
      <c r="U2" s="6"/>
      <c r="V2" s="6"/>
      <c r="W2" s="69"/>
      <c r="X2" s="69"/>
      <c r="Z2" s="70"/>
      <c r="AA2" s="71"/>
      <c r="AB2" s="71"/>
      <c r="AC2" s="71"/>
      <c r="AD2" s="70"/>
      <c r="AZ2" s="175"/>
      <c r="BA2" s="175"/>
      <c r="BB2" s="175"/>
      <c r="BC2" s="179"/>
      <c r="BD2" s="175"/>
      <c r="BE2" s="179"/>
      <c r="BF2" s="179"/>
      <c r="BG2" s="179"/>
      <c r="BH2" s="179"/>
      <c r="BI2" s="176"/>
      <c r="BK2" s="70"/>
      <c r="BL2" s="88"/>
      <c r="BM2" s="88"/>
      <c r="BN2" s="184"/>
      <c r="BO2" s="79"/>
    </row>
    <row r="3" spans="2:67" ht="14.25" customHeight="1" x14ac:dyDescent="0.25">
      <c r="B3" s="11" t="s">
        <v>2</v>
      </c>
      <c r="C3" s="80" t="s">
        <v>3</v>
      </c>
      <c r="D3" s="207" t="s">
        <v>2</v>
      </c>
      <c r="E3" s="208"/>
      <c r="F3" s="209"/>
      <c r="G3" s="213" t="s">
        <v>4</v>
      </c>
      <c r="H3" s="213"/>
      <c r="I3" s="213"/>
      <c r="J3" s="7" t="s">
        <v>69</v>
      </c>
      <c r="K3" s="7" t="s">
        <v>75</v>
      </c>
      <c r="M3" s="8" t="s">
        <v>0</v>
      </c>
      <c r="N3" s="170" t="s">
        <v>75</v>
      </c>
      <c r="O3" s="170" t="s">
        <v>76</v>
      </c>
      <c r="P3" s="170" t="s">
        <v>77</v>
      </c>
      <c r="Q3" s="10" t="s">
        <v>87</v>
      </c>
      <c r="S3" s="11" t="s">
        <v>71</v>
      </c>
      <c r="T3" s="208" t="s">
        <v>113</v>
      </c>
      <c r="U3" s="208"/>
      <c r="V3" s="208"/>
      <c r="W3" s="208"/>
      <c r="X3" s="10" t="s">
        <v>75</v>
      </c>
      <c r="Z3" s="81" t="s">
        <v>73</v>
      </c>
      <c r="AA3" s="81" t="s">
        <v>75</v>
      </c>
      <c r="AB3" s="81" t="s">
        <v>76</v>
      </c>
      <c r="AC3" s="81" t="s">
        <v>77</v>
      </c>
      <c r="AD3" s="81" t="s">
        <v>74</v>
      </c>
      <c r="AE3" s="81" t="s">
        <v>75</v>
      </c>
      <c r="AF3" s="81" t="s">
        <v>76</v>
      </c>
      <c r="AG3" s="81" t="s">
        <v>77</v>
      </c>
      <c r="AI3" s="82" t="s">
        <v>85</v>
      </c>
      <c r="AJ3" s="82" t="s">
        <v>84</v>
      </c>
      <c r="AK3" s="82" t="s">
        <v>83</v>
      </c>
      <c r="AL3" s="81" t="s">
        <v>82</v>
      </c>
      <c r="AM3" s="81" t="s">
        <v>81</v>
      </c>
      <c r="AN3" s="81" t="s">
        <v>78</v>
      </c>
      <c r="AO3" s="81" t="s">
        <v>75</v>
      </c>
      <c r="AP3" s="81" t="s">
        <v>76</v>
      </c>
      <c r="AQ3" s="81" t="s">
        <v>77</v>
      </c>
      <c r="AR3" s="82" t="s">
        <v>79</v>
      </c>
      <c r="AT3" s="81" t="s">
        <v>80</v>
      </c>
      <c r="AU3" s="81" t="s">
        <v>78</v>
      </c>
      <c r="AV3" s="81" t="s">
        <v>75</v>
      </c>
      <c r="AW3" s="81" t="s">
        <v>76</v>
      </c>
      <c r="AX3" s="81" t="s">
        <v>77</v>
      </c>
      <c r="AY3" s="82" t="s">
        <v>79</v>
      </c>
      <c r="AZ3" s="175"/>
      <c r="BA3" s="175"/>
      <c r="BB3" s="206"/>
      <c r="BC3" s="206"/>
      <c r="BD3" s="206"/>
      <c r="BE3" s="206"/>
      <c r="BF3" s="206"/>
      <c r="BG3" s="206"/>
      <c r="BH3" s="179"/>
      <c r="BI3" s="179"/>
      <c r="BK3" s="70"/>
      <c r="BL3" s="71"/>
      <c r="BM3" s="71"/>
      <c r="BN3" s="179"/>
      <c r="BO3" s="24"/>
    </row>
    <row r="4" spans="2:67" ht="14.25" customHeight="1" x14ac:dyDescent="0.25">
      <c r="B4" s="16">
        <v>1</v>
      </c>
      <c r="C4" s="83">
        <v>44885</v>
      </c>
      <c r="D4" s="84" t="s">
        <v>200</v>
      </c>
      <c r="E4" s="85" t="s">
        <v>6</v>
      </c>
      <c r="F4" s="86" t="s">
        <v>57</v>
      </c>
      <c r="G4" s="62"/>
      <c r="H4" s="87" t="s">
        <v>6</v>
      </c>
      <c r="I4" s="62">
        <v>0</v>
      </c>
      <c r="J4" s="64" t="str">
        <f>IF(OR(ISBLANK(G4),ISBLANK(I4)),"",IF(G4&gt;I4,1,IF(G4&lt;I4,2,"X")))</f>
        <v/>
      </c>
      <c r="K4" s="63">
        <f>IF(OR(G4="",I4="",'Resultat &amp; tabell'!G4="",'Resultat &amp; tabell'!I4=""),0,IF(G4='Resultat &amp; tabell'!G4,2,0)+IF(I4='Resultat &amp; tabell'!I4,2,0)+IF(J4='Resultat &amp; tabell'!J4,3,0))</f>
        <v>0</v>
      </c>
      <c r="L4" s="12">
        <v>1</v>
      </c>
      <c r="M4" s="13" t="str">
        <f>VLOOKUP(L4,AT4:AY7,2,FALSE)</f>
        <v>Ecuador</v>
      </c>
      <c r="N4" s="61">
        <f>VLOOKUP(M4,$AU$4:$AY$7,2,FALSE)</f>
        <v>1</v>
      </c>
      <c r="O4" s="14">
        <f>VLOOKUP(M4,$AU$4:$AY$7,3,FALSE)</f>
        <v>0</v>
      </c>
      <c r="P4" s="14">
        <f>VLOOKUP(M4,$AU$4:$AY$7,4,FALSE)</f>
        <v>0</v>
      </c>
      <c r="Q4" s="15">
        <f>VLOOKUP(M4,$AU$4:$AY$7,5,FALSE)</f>
        <v>0</v>
      </c>
      <c r="S4" s="16" t="s">
        <v>72</v>
      </c>
      <c r="T4" s="222"/>
      <c r="U4" s="223"/>
      <c r="V4" s="223"/>
      <c r="W4" s="224"/>
      <c r="X4" s="51">
        <f>IF(AND('Resultat &amp; tabell'!S4&gt;0,T4='Resultat &amp; tabell'!S4),20,0)</f>
        <v>0</v>
      </c>
      <c r="Z4" s="88" t="str">
        <f>D4</f>
        <v>Qatar</v>
      </c>
      <c r="AA4" s="89">
        <f>IF(G4="",0,IF($G4&lt;$I4,0,IF($G4=$I4,1,3)))</f>
        <v>0</v>
      </c>
      <c r="AB4" s="89">
        <f t="shared" ref="AB4:AB9" si="0">G4</f>
        <v>0</v>
      </c>
      <c r="AC4" s="89">
        <f t="shared" ref="AC4:AC9" si="1">I4</f>
        <v>0</v>
      </c>
      <c r="AD4" s="88" t="str">
        <f>F4</f>
        <v>Ecuador</v>
      </c>
      <c r="AE4" s="89">
        <f>IF(I4="",0,IF(I4&lt;G4,0,IF(G4=I4,1,3)))</f>
        <v>1</v>
      </c>
      <c r="AF4" s="73">
        <f t="shared" ref="AF4:AF9" si="2">I4</f>
        <v>0</v>
      </c>
      <c r="AG4" s="73">
        <f t="shared" ref="AG4:AG9" si="3">G4</f>
        <v>0</v>
      </c>
      <c r="AI4" s="72">
        <f>RANK($AJ4,$AJ$4:$AJ$7,1)+COUNTIF($AJ$4:$AJ4,$AJ4)-1</f>
        <v>2</v>
      </c>
      <c r="AJ4" s="72">
        <f>AK4+AL4+AM4</f>
        <v>2</v>
      </c>
      <c r="AK4" s="72">
        <f>SUMPRODUCT(($AO$4:$AO$7=AO4)*($AR$4:$AR$7=AR4)*($AP$4:$AP$7&gt;AP4))</f>
        <v>0</v>
      </c>
      <c r="AL4" s="72">
        <f>SUMPRODUCT(($AO$4:$AO$7=AO4)*($AR$4:$AR$7&gt;AR4))</f>
        <v>0</v>
      </c>
      <c r="AM4" s="72">
        <f>RANK(AO4,$AO$4:$AO$7)</f>
        <v>2</v>
      </c>
      <c r="AN4" s="88" t="s">
        <v>200</v>
      </c>
      <c r="AO4" s="72">
        <f>SUMIF($Z$4:$Z$9,$AN4,$AA$4:$AA$9)+SUMIF($AD$4:$AD$9,$AN4,$AE$4:$AE$9)</f>
        <v>0</v>
      </c>
      <c r="AP4" s="72">
        <f>SUMIF($Z$4:$Z$9,AN4,$AB$4:$AB$9)+SUMIF($AD$4:$AD$9,AN4,$AF$4:$AF$9)</f>
        <v>0</v>
      </c>
      <c r="AQ4" s="72">
        <f>SUMIF($AD$4:$AD$9,AN4,$AG$4:$AG$9)+SUMIF($Z$4:$Z$9,AN4,$AC$4:$AC$9)</f>
        <v>0</v>
      </c>
      <c r="AR4" s="72">
        <f>AP4-AQ4</f>
        <v>0</v>
      </c>
      <c r="AT4" s="72">
        <v>1</v>
      </c>
      <c r="AU4" s="72" t="str">
        <f>VLOOKUP($AT4,$AI$4:$AR$7,6,FALSE)</f>
        <v>Ecuador</v>
      </c>
      <c r="AV4" s="72">
        <f>VLOOKUP($AU4,$AN$4:$AR$7,2,FALSE)</f>
        <v>1</v>
      </c>
      <c r="AW4" s="72">
        <f t="shared" ref="AW4:AW7" si="4">VLOOKUP($AU4,$AN$4:$AR$7,3,FALSE)</f>
        <v>0</v>
      </c>
      <c r="AX4" s="72">
        <f>VLOOKUP($AU4,$AN$4:$AR$7,4,FALSE)</f>
        <v>0</v>
      </c>
      <c r="AY4" s="72">
        <f>VLOOKUP($AU4,$AN$4:$AR$7,5,FALSE)</f>
        <v>0</v>
      </c>
      <c r="AZ4" s="177"/>
      <c r="BA4" s="180"/>
      <c r="BB4" s="177"/>
      <c r="BC4" s="181"/>
      <c r="BD4" s="177"/>
      <c r="BE4" s="181"/>
      <c r="BF4" s="181"/>
      <c r="BG4" s="181"/>
      <c r="BH4" s="181"/>
      <c r="BI4" s="178"/>
      <c r="BJ4" s="94"/>
      <c r="BK4" s="88"/>
      <c r="BL4" s="89"/>
      <c r="BM4" s="197"/>
      <c r="BN4" s="181"/>
      <c r="BO4" s="49"/>
    </row>
    <row r="5" spans="2:67" ht="14.25" customHeight="1" x14ac:dyDescent="0.25">
      <c r="B5" s="16">
        <v>2</v>
      </c>
      <c r="C5" s="95">
        <v>44886</v>
      </c>
      <c r="D5" s="84" t="s">
        <v>151</v>
      </c>
      <c r="E5" s="85" t="s">
        <v>6</v>
      </c>
      <c r="F5" s="86" t="s">
        <v>159</v>
      </c>
      <c r="G5" s="62"/>
      <c r="H5" s="87" t="s">
        <v>6</v>
      </c>
      <c r="I5" s="62"/>
      <c r="J5" s="64" t="str">
        <f t="shared" ref="J5:J9" si="5">IF(OR(ISBLANK(G5),ISBLANK(I5)),"",IF(G5&gt;I5,1,IF(G5&lt;I5,2,"X")))</f>
        <v/>
      </c>
      <c r="K5" s="63">
        <f>IF(OR(G5="",I5="",'Resultat &amp; tabell'!G5="",'Resultat &amp; tabell'!I5=""),0,IF(G5='Resultat &amp; tabell'!G5,2,0)+IF(I5='Resultat &amp; tabell'!I5,2,0)+IF(J5='Resultat &amp; tabell'!J5,3,0))</f>
        <v>0</v>
      </c>
      <c r="L5" s="2">
        <v>2</v>
      </c>
      <c r="M5" s="17" t="str">
        <f>VLOOKUP(L5,AT4:AY7,2,FALSE)</f>
        <v>Qatar</v>
      </c>
      <c r="N5" s="18">
        <f>VLOOKUP(M5,$AU$4:$AY$7,2,FALSE)</f>
        <v>0</v>
      </c>
      <c r="O5" s="18">
        <f>VLOOKUP(M5,$AU$4:$AY$7,3,FALSE)</f>
        <v>0</v>
      </c>
      <c r="P5" s="18">
        <f>VLOOKUP(M5,$AU$4:$AY$7,4,FALSE)</f>
        <v>0</v>
      </c>
      <c r="Q5" s="19">
        <f>VLOOKUP(M5,$AU$4:$AY$7,5,FALSE)</f>
        <v>0</v>
      </c>
      <c r="S5" s="16" t="s">
        <v>108</v>
      </c>
      <c r="T5" s="222"/>
      <c r="U5" s="223"/>
      <c r="V5" s="223"/>
      <c r="W5" s="224"/>
      <c r="X5" s="51">
        <f>IF(AND('Resultat &amp; tabell'!S5&gt;0,T5='Resultat &amp; tabell'!S5,T5&lt;&gt;""),20,0)</f>
        <v>0</v>
      </c>
      <c r="Z5" s="88" t="str">
        <f t="shared" ref="Z5:Z9" si="6">D5</f>
        <v>Senegal</v>
      </c>
      <c r="AA5" s="89">
        <f t="shared" ref="AA5:AA9" si="7">IF(G5="",0,IF($G5&lt;$I5,0,IF($G5=$I5,1,3)))</f>
        <v>0</v>
      </c>
      <c r="AB5" s="89">
        <f t="shared" si="0"/>
        <v>0</v>
      </c>
      <c r="AC5" s="89">
        <f t="shared" si="1"/>
        <v>0</v>
      </c>
      <c r="AD5" s="88" t="str">
        <f t="shared" ref="AD5:AD9" si="8">F5</f>
        <v>Nederländerna</v>
      </c>
      <c r="AE5" s="89">
        <f t="shared" ref="AE5:AE9" si="9">IF(I5="",0,IF(I5&lt;G5,0,IF(G5=I5,1,3)))</f>
        <v>0</v>
      </c>
      <c r="AF5" s="73">
        <f t="shared" si="2"/>
        <v>0</v>
      </c>
      <c r="AG5" s="73">
        <f t="shared" si="3"/>
        <v>0</v>
      </c>
      <c r="AI5" s="72">
        <f>RANK($AJ5,$AJ$4:$AJ$7,1)+COUNTIF($AJ$4:$AJ5,$AJ5)-1</f>
        <v>1</v>
      </c>
      <c r="AJ5" s="72">
        <f t="shared" ref="AJ5:AJ7" si="10">AK5+AL5+AM5</f>
        <v>1</v>
      </c>
      <c r="AK5" s="72">
        <f t="shared" ref="AK5:AK7" si="11">SUMPRODUCT(($AO$4:$AO$7=AO5)*($AR$4:$AR$7=AR5)*($AP$4:$AP$7&gt;AP5))</f>
        <v>0</v>
      </c>
      <c r="AL5" s="72">
        <f t="shared" ref="AL5:AL7" si="12">SUMPRODUCT(($AO$4:$AO$7=AO5)*($AR$4:$AR$7&gt;AR5))</f>
        <v>0</v>
      </c>
      <c r="AM5" s="72">
        <f t="shared" ref="AM5:AM7" si="13">RANK(AO5,$AO$4:$AO$7)</f>
        <v>1</v>
      </c>
      <c r="AN5" s="88" t="s">
        <v>57</v>
      </c>
      <c r="AO5" s="72">
        <f t="shared" ref="AO5:AO7" si="14">SUMIF($Z$4:$Z$9,$AN5,$AA$4:$AA$9)+SUMIF($AD$4:$AD$9,$AN5,$AE$4:$AE$9)</f>
        <v>1</v>
      </c>
      <c r="AP5" s="72">
        <f>SUMIF($Z$4:$Z$9,AN5,$AB$4:$AB$9)+SUMIF($AD$4:$AD$9,AN5,$AF$4:$AF$9)</f>
        <v>0</v>
      </c>
      <c r="AQ5" s="72">
        <f t="shared" ref="AQ5:AQ7" si="15">SUMIF($AD$4:$AD$9,AN5,$AG$4:$AG$9)+SUMIF($Z$4:$Z$9,AN5,$AC$4:$AC$9)</f>
        <v>0</v>
      </c>
      <c r="AR5" s="72">
        <f t="shared" ref="AR5:AR7" si="16">AP5-AQ5</f>
        <v>0</v>
      </c>
      <c r="AT5" s="72">
        <v>2</v>
      </c>
      <c r="AU5" s="72" t="str">
        <f t="shared" ref="AU5:AU7" si="17">VLOOKUP($AT5,$AI$4:$AR$7,6,FALSE)</f>
        <v>Qatar</v>
      </c>
      <c r="AV5" s="72">
        <f t="shared" ref="AV5:AV7" si="18">VLOOKUP($AU5,$AN$4:$AR$7,2,FALSE)</f>
        <v>0</v>
      </c>
      <c r="AW5" s="72">
        <f t="shared" si="4"/>
        <v>0</v>
      </c>
      <c r="AX5" s="72">
        <f t="shared" ref="AX5:AX7" si="19">VLOOKUP($AU5,$AN$4:$AR$7,4,FALSE)</f>
        <v>0</v>
      </c>
      <c r="AY5" s="72">
        <f t="shared" ref="AY5:AY7" si="20">VLOOKUP($AU5,$AN$4:$AR$7,5,FALSE)</f>
        <v>0</v>
      </c>
      <c r="AZ5" s="177"/>
      <c r="BA5" s="182"/>
      <c r="BB5" s="177"/>
      <c r="BC5" s="181"/>
      <c r="BD5" s="177"/>
      <c r="BE5" s="181"/>
      <c r="BF5" s="181"/>
      <c r="BG5" s="181"/>
      <c r="BH5" s="181"/>
      <c r="BI5" s="178"/>
      <c r="BK5" s="88"/>
      <c r="BL5" s="198"/>
      <c r="BM5" s="197"/>
      <c r="BN5" s="181"/>
      <c r="BO5" s="49"/>
    </row>
    <row r="6" spans="2:67" ht="14.25" customHeight="1" x14ac:dyDescent="0.25">
      <c r="B6" s="16">
        <v>18</v>
      </c>
      <c r="C6" s="95">
        <v>44890</v>
      </c>
      <c r="D6" s="97" t="s">
        <v>200</v>
      </c>
      <c r="E6" s="85" t="s">
        <v>6</v>
      </c>
      <c r="F6" s="86" t="s">
        <v>151</v>
      </c>
      <c r="G6" s="62"/>
      <c r="H6" s="87" t="s">
        <v>6</v>
      </c>
      <c r="I6" s="62"/>
      <c r="J6" s="64" t="str">
        <f t="shared" si="5"/>
        <v/>
      </c>
      <c r="K6" s="63">
        <f>IF(OR(G6="",I6="",'Resultat &amp; tabell'!G6="",'Resultat &amp; tabell'!I6=""),0,IF(G6='Resultat &amp; tabell'!G6,2,0)+IF(I6='Resultat &amp; tabell'!I6,2,0)+IF(J6='Resultat &amp; tabell'!J6,3,0))</f>
        <v>0</v>
      </c>
      <c r="L6" s="2">
        <v>3</v>
      </c>
      <c r="M6" s="20" t="str">
        <f>VLOOKUP(L6,AT4:AY7,2,FALSE)</f>
        <v>Senegal</v>
      </c>
      <c r="N6" s="14">
        <f>VLOOKUP(M6,$AU$4:$AY$7,2,FALSE)</f>
        <v>0</v>
      </c>
      <c r="O6" s="14">
        <f>VLOOKUP(M6,$AU$4:$AY$7,3,FALSE)</f>
        <v>0</v>
      </c>
      <c r="P6" s="14">
        <f>VLOOKUP(M6,$AU$4:$AY$7,4,FALSE)</f>
        <v>0</v>
      </c>
      <c r="Q6" s="15">
        <f>VLOOKUP(M6,$AU$4:$AY$7,5,FALSE)</f>
        <v>0</v>
      </c>
      <c r="S6" s="16" t="s">
        <v>143</v>
      </c>
      <c r="T6" s="222"/>
      <c r="U6" s="223"/>
      <c r="V6" s="223"/>
      <c r="W6" s="224"/>
      <c r="X6" s="51">
        <f>IF(AND('Resultat &amp; tabell'!S6&gt;0,T6='Resultat &amp; tabell'!S6,T6&lt;&gt;""),10,0)</f>
        <v>0</v>
      </c>
      <c r="Z6" s="88" t="str">
        <f t="shared" si="6"/>
        <v>Qatar</v>
      </c>
      <c r="AA6" s="89">
        <f t="shared" si="7"/>
        <v>0</v>
      </c>
      <c r="AB6" s="89">
        <f t="shared" si="0"/>
        <v>0</v>
      </c>
      <c r="AC6" s="89">
        <f t="shared" si="1"/>
        <v>0</v>
      </c>
      <c r="AD6" s="88" t="str">
        <f t="shared" si="8"/>
        <v>Senegal</v>
      </c>
      <c r="AE6" s="89">
        <f t="shared" si="9"/>
        <v>0</v>
      </c>
      <c r="AF6" s="73">
        <f t="shared" si="2"/>
        <v>0</v>
      </c>
      <c r="AG6" s="73">
        <f t="shared" si="3"/>
        <v>0</v>
      </c>
      <c r="AI6" s="72">
        <f>RANK($AJ6,$AJ$4:$AJ$7,1)+COUNTIF($AJ$4:$AJ6,$AJ6)-1</f>
        <v>3</v>
      </c>
      <c r="AJ6" s="72">
        <f t="shared" si="10"/>
        <v>2</v>
      </c>
      <c r="AK6" s="72">
        <f t="shared" si="11"/>
        <v>0</v>
      </c>
      <c r="AL6" s="72">
        <f t="shared" si="12"/>
        <v>0</v>
      </c>
      <c r="AM6" s="72">
        <f t="shared" si="13"/>
        <v>2</v>
      </c>
      <c r="AN6" s="88" t="s">
        <v>151</v>
      </c>
      <c r="AO6" s="72">
        <f t="shared" si="14"/>
        <v>0</v>
      </c>
      <c r="AP6" s="72">
        <f>SUMIF($Z$4:$Z$9,AN6,$AB$4:$AB$9)+SUMIF($AD$4:$AD$9,AN6,$AF$4:$AF$9)</f>
        <v>0</v>
      </c>
      <c r="AQ6" s="72">
        <f t="shared" si="15"/>
        <v>0</v>
      </c>
      <c r="AR6" s="72">
        <f t="shared" si="16"/>
        <v>0</v>
      </c>
      <c r="AT6" s="72">
        <v>3</v>
      </c>
      <c r="AU6" s="72" t="str">
        <f t="shared" si="17"/>
        <v>Senegal</v>
      </c>
      <c r="AV6" s="72">
        <f t="shared" si="18"/>
        <v>0</v>
      </c>
      <c r="AW6" s="72">
        <f t="shared" si="4"/>
        <v>0</v>
      </c>
      <c r="AX6" s="72">
        <f t="shared" si="19"/>
        <v>0</v>
      </c>
      <c r="AY6" s="72">
        <f t="shared" si="20"/>
        <v>0</v>
      </c>
      <c r="AZ6" s="177"/>
      <c r="BA6" s="182"/>
      <c r="BB6" s="177"/>
      <c r="BC6" s="181"/>
      <c r="BD6" s="177"/>
      <c r="BE6" s="181"/>
      <c r="BF6" s="181"/>
      <c r="BG6" s="181"/>
      <c r="BH6" s="181"/>
      <c r="BI6" s="178"/>
      <c r="BK6" s="88"/>
      <c r="BL6" s="198"/>
      <c r="BM6" s="197"/>
      <c r="BN6" s="181"/>
      <c r="BO6" s="49"/>
    </row>
    <row r="7" spans="2:67" ht="14.25" customHeight="1" x14ac:dyDescent="0.25">
      <c r="B7" s="16">
        <v>19</v>
      </c>
      <c r="C7" s="95">
        <v>44890</v>
      </c>
      <c r="D7" s="84" t="s">
        <v>159</v>
      </c>
      <c r="E7" s="85" t="s">
        <v>6</v>
      </c>
      <c r="F7" s="86" t="s">
        <v>57</v>
      </c>
      <c r="G7" s="62"/>
      <c r="H7" s="87" t="s">
        <v>6</v>
      </c>
      <c r="I7" s="62"/>
      <c r="J7" s="64" t="str">
        <f t="shared" si="5"/>
        <v/>
      </c>
      <c r="K7" s="63">
        <f>IF(OR(G7="",I7="",'Resultat &amp; tabell'!G7="",'Resultat &amp; tabell'!I7=""),0,IF(G7='Resultat &amp; tabell'!G7,2,0)+IF(I7='Resultat &amp; tabell'!I7,2,0)+IF(J7='Resultat &amp; tabell'!J7,3,0))</f>
        <v>0</v>
      </c>
      <c r="L7" s="2">
        <v>4</v>
      </c>
      <c r="M7" s="21" t="str">
        <f>VLOOKUP(L7,AT4:AY7,2,FALSE)</f>
        <v>Nederländerna</v>
      </c>
      <c r="N7" s="18">
        <f>VLOOKUP(M7,$AU$4:$AY$7,2,FALSE)</f>
        <v>0</v>
      </c>
      <c r="O7" s="18">
        <f>VLOOKUP(M7,$AU$4:$AY$7,3,FALSE)</f>
        <v>0</v>
      </c>
      <c r="P7" s="18">
        <f>VLOOKUP(M7,$AU$4:$AY$7,4,FALSE)</f>
        <v>0</v>
      </c>
      <c r="Q7" s="19">
        <f>VLOOKUP(M7,$AU$4:$AY$7,5,FALSE)</f>
        <v>0</v>
      </c>
      <c r="S7" s="22"/>
      <c r="T7" s="22"/>
      <c r="U7" s="22"/>
      <c r="V7" s="22"/>
      <c r="W7" s="5"/>
      <c r="Z7" s="88" t="str">
        <f t="shared" si="6"/>
        <v>Nederländerna</v>
      </c>
      <c r="AA7" s="89">
        <f t="shared" si="7"/>
        <v>0</v>
      </c>
      <c r="AB7" s="89">
        <f t="shared" si="0"/>
        <v>0</v>
      </c>
      <c r="AC7" s="89">
        <f t="shared" si="1"/>
        <v>0</v>
      </c>
      <c r="AD7" s="88" t="str">
        <f t="shared" si="8"/>
        <v>Ecuador</v>
      </c>
      <c r="AE7" s="89">
        <f t="shared" si="9"/>
        <v>0</v>
      </c>
      <c r="AF7" s="73">
        <f t="shared" si="2"/>
        <v>0</v>
      </c>
      <c r="AG7" s="73">
        <f t="shared" si="3"/>
        <v>0</v>
      </c>
      <c r="AI7" s="72">
        <f>RANK($AJ7,$AJ$4:$AJ$7,1)+COUNTIF($AJ$4:$AJ7,$AJ7)-1</f>
        <v>4</v>
      </c>
      <c r="AJ7" s="72">
        <f t="shared" si="10"/>
        <v>2</v>
      </c>
      <c r="AK7" s="72">
        <f t="shared" si="11"/>
        <v>0</v>
      </c>
      <c r="AL7" s="72">
        <f t="shared" si="12"/>
        <v>0</v>
      </c>
      <c r="AM7" s="72">
        <f t="shared" si="13"/>
        <v>2</v>
      </c>
      <c r="AN7" s="88" t="s">
        <v>159</v>
      </c>
      <c r="AO7" s="72">
        <f t="shared" si="14"/>
        <v>0</v>
      </c>
      <c r="AP7" s="72">
        <f>SUMIF($Z$4:$Z$9,AN7,$AB$4:$AB$9)+SUMIF($AD$4:$AD$9,AN7,$AF$4:$AF$9)</f>
        <v>0</v>
      </c>
      <c r="AQ7" s="72">
        <f t="shared" si="15"/>
        <v>0</v>
      </c>
      <c r="AR7" s="72">
        <f t="shared" si="16"/>
        <v>0</v>
      </c>
      <c r="AT7" s="72">
        <v>4</v>
      </c>
      <c r="AU7" s="72" t="str">
        <f t="shared" si="17"/>
        <v>Nederländerna</v>
      </c>
      <c r="AV7" s="72">
        <f t="shared" si="18"/>
        <v>0</v>
      </c>
      <c r="AW7" s="72">
        <f t="shared" si="4"/>
        <v>0</v>
      </c>
      <c r="AX7" s="72">
        <f t="shared" si="19"/>
        <v>0</v>
      </c>
      <c r="AY7" s="72">
        <f t="shared" si="20"/>
        <v>0</v>
      </c>
      <c r="AZ7" s="177"/>
      <c r="BA7" s="182"/>
      <c r="BB7" s="177"/>
      <c r="BC7" s="181"/>
      <c r="BD7" s="177"/>
      <c r="BE7" s="181"/>
      <c r="BF7" s="181"/>
      <c r="BG7" s="181"/>
      <c r="BH7" s="181"/>
      <c r="BI7" s="178"/>
      <c r="BK7" s="177"/>
      <c r="BL7" s="181"/>
      <c r="BM7" s="181"/>
      <c r="BN7" s="181"/>
      <c r="BO7" s="49"/>
    </row>
    <row r="8" spans="2:67" ht="14.25" customHeight="1" x14ac:dyDescent="0.25">
      <c r="B8" s="16">
        <v>35</v>
      </c>
      <c r="C8" s="95">
        <v>44894</v>
      </c>
      <c r="D8" s="84" t="s">
        <v>57</v>
      </c>
      <c r="E8" s="85" t="s">
        <v>6</v>
      </c>
      <c r="F8" s="86" t="s">
        <v>151</v>
      </c>
      <c r="G8" s="62"/>
      <c r="H8" s="87" t="s">
        <v>6</v>
      </c>
      <c r="I8" s="62"/>
      <c r="J8" s="64" t="str">
        <f t="shared" si="5"/>
        <v/>
      </c>
      <c r="K8" s="63">
        <f>IF(OR(G8="",I8="",'Resultat &amp; tabell'!G8="",'Resultat &amp; tabell'!I8=""),0,IF(G8='Resultat &amp; tabell'!G8,2,0)+IF(I8='Resultat &amp; tabell'!I8,2,0)+IF(J8='Resultat &amp; tabell'!J8,3,0))</f>
        <v>0</v>
      </c>
      <c r="M8" s="187">
        <f>COUNTBLANK(G4:G9)+COUNTBLANK(I4:I9)</f>
        <v>11</v>
      </c>
      <c r="N8" s="23"/>
      <c r="O8" s="23"/>
      <c r="P8" s="23"/>
      <c r="Q8" s="23"/>
      <c r="S8" s="22"/>
      <c r="T8" s="22"/>
      <c r="U8" s="22"/>
      <c r="V8" s="22"/>
      <c r="W8" s="5"/>
      <c r="Z8" s="88" t="str">
        <f t="shared" si="6"/>
        <v>Ecuador</v>
      </c>
      <c r="AA8" s="89">
        <f t="shared" si="7"/>
        <v>0</v>
      </c>
      <c r="AB8" s="89">
        <f t="shared" si="0"/>
        <v>0</v>
      </c>
      <c r="AC8" s="89">
        <f t="shared" si="1"/>
        <v>0</v>
      </c>
      <c r="AD8" s="88" t="str">
        <f t="shared" si="8"/>
        <v>Senegal</v>
      </c>
      <c r="AE8" s="89">
        <f t="shared" si="9"/>
        <v>0</v>
      </c>
      <c r="AF8" s="73">
        <f t="shared" si="2"/>
        <v>0</v>
      </c>
      <c r="AG8" s="73">
        <f t="shared" si="3"/>
        <v>0</v>
      </c>
      <c r="AZ8" s="177"/>
      <c r="BA8" s="182"/>
      <c r="BB8" s="177"/>
      <c r="BC8" s="181"/>
      <c r="BD8" s="177"/>
      <c r="BE8" s="181"/>
      <c r="BF8" s="181"/>
      <c r="BG8" s="181"/>
      <c r="BH8" s="181"/>
      <c r="BI8" s="178"/>
      <c r="BK8" s="184"/>
      <c r="BL8" s="181"/>
      <c r="BM8" s="181"/>
      <c r="BN8" s="181"/>
      <c r="BO8" s="49"/>
    </row>
    <row r="9" spans="2:67" ht="14.25" customHeight="1" x14ac:dyDescent="0.25">
      <c r="B9" s="98">
        <v>36</v>
      </c>
      <c r="C9" s="95">
        <v>44894</v>
      </c>
      <c r="D9" s="84" t="s">
        <v>159</v>
      </c>
      <c r="E9" s="85" t="s">
        <v>6</v>
      </c>
      <c r="F9" s="86" t="s">
        <v>200</v>
      </c>
      <c r="G9" s="62"/>
      <c r="H9" s="87" t="s">
        <v>6</v>
      </c>
      <c r="I9" s="62"/>
      <c r="J9" s="64" t="str">
        <f t="shared" si="5"/>
        <v/>
      </c>
      <c r="K9" s="63">
        <f>IF(OR(G9="",I9="",'Resultat &amp; tabell'!G9="",'Resultat &amp; tabell'!I9=""),0,IF(G9='Resultat &amp; tabell'!G9,2,0)+IF(I9='Resultat &amp; tabell'!I9,2,0)+IF(J9='Resultat &amp; tabell'!J9,3,0))</f>
        <v>0</v>
      </c>
      <c r="N9" s="23"/>
      <c r="O9" s="23"/>
      <c r="P9" s="23"/>
      <c r="Q9" s="23"/>
      <c r="S9" s="22"/>
      <c r="T9" s="22"/>
      <c r="U9" s="22"/>
      <c r="V9" s="22"/>
      <c r="W9" s="5"/>
      <c r="Z9" s="88" t="str">
        <f t="shared" si="6"/>
        <v>Nederländerna</v>
      </c>
      <c r="AA9" s="89">
        <f t="shared" si="7"/>
        <v>0</v>
      </c>
      <c r="AB9" s="89">
        <f t="shared" si="0"/>
        <v>0</v>
      </c>
      <c r="AC9" s="89">
        <f t="shared" si="1"/>
        <v>0</v>
      </c>
      <c r="AD9" s="88" t="str">
        <f t="shared" si="8"/>
        <v>Qatar</v>
      </c>
      <c r="AE9" s="89">
        <f t="shared" si="9"/>
        <v>0</v>
      </c>
      <c r="AF9" s="73">
        <f t="shared" si="2"/>
        <v>0</v>
      </c>
      <c r="AG9" s="73">
        <f t="shared" si="3"/>
        <v>0</v>
      </c>
      <c r="AZ9" s="177"/>
      <c r="BA9" s="182"/>
      <c r="BB9" s="177"/>
      <c r="BC9" s="181"/>
      <c r="BD9" s="177"/>
      <c r="BE9" s="181"/>
      <c r="BF9" s="181"/>
      <c r="BG9" s="181"/>
      <c r="BH9" s="181"/>
      <c r="BI9" s="178"/>
      <c r="BK9" s="184"/>
      <c r="BL9" s="181"/>
      <c r="BM9" s="181"/>
      <c r="BN9" s="181"/>
      <c r="BO9" s="49"/>
    </row>
    <row r="10" spans="2:67" ht="14.25" customHeight="1" x14ac:dyDescent="0.3">
      <c r="C10" s="38"/>
      <c r="F10" s="101"/>
      <c r="J10" s="24"/>
      <c r="K10" s="24"/>
      <c r="N10" s="23"/>
      <c r="O10" s="23"/>
      <c r="P10" s="23"/>
      <c r="Q10" s="23"/>
      <c r="S10" s="22"/>
      <c r="T10" s="22"/>
      <c r="U10" s="22"/>
      <c r="V10" s="22"/>
      <c r="W10" s="5"/>
      <c r="AZ10" s="177"/>
      <c r="BA10" s="182"/>
      <c r="BB10" s="177"/>
      <c r="BC10" s="181"/>
      <c r="BD10" s="177"/>
      <c r="BE10" s="181"/>
      <c r="BF10" s="181"/>
      <c r="BG10" s="181"/>
      <c r="BH10" s="181"/>
      <c r="BI10" s="178"/>
      <c r="BK10" s="184"/>
      <c r="BL10" s="181"/>
      <c r="BM10" s="181"/>
      <c r="BN10" s="181"/>
      <c r="BO10" s="49"/>
    </row>
    <row r="11" spans="2:67" s="26" customFormat="1" ht="14.25" customHeight="1" x14ac:dyDescent="0.3">
      <c r="B11" s="6" t="s">
        <v>24</v>
      </c>
      <c r="C11" s="104"/>
      <c r="D11" s="117"/>
      <c r="E11" s="27"/>
      <c r="F11" s="105"/>
      <c r="G11" s="27"/>
      <c r="H11" s="27"/>
      <c r="I11" s="106"/>
      <c r="J11" s="101"/>
      <c r="K11" s="24"/>
      <c r="L11" s="25"/>
      <c r="N11" s="27"/>
      <c r="O11" s="27"/>
      <c r="P11" s="27"/>
      <c r="Q11" s="27"/>
      <c r="S11" s="26" t="s">
        <v>95</v>
      </c>
      <c r="Z11" s="70"/>
      <c r="AA11" s="89"/>
      <c r="AB11" s="89"/>
      <c r="AC11" s="89"/>
      <c r="AD11" s="70"/>
      <c r="AE11" s="107"/>
      <c r="AF11" s="108"/>
      <c r="AG11" s="108"/>
      <c r="AH11" s="107"/>
      <c r="AI11" s="72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75"/>
      <c r="BA11" s="183"/>
      <c r="BB11" s="175"/>
      <c r="BC11" s="179"/>
      <c r="BD11" s="175"/>
      <c r="BE11" s="179"/>
      <c r="BF11" s="179"/>
      <c r="BG11" s="181"/>
      <c r="BH11" s="179"/>
      <c r="BI11" s="179"/>
      <c r="BJ11" s="110"/>
      <c r="BK11" s="1"/>
      <c r="BL11" s="24"/>
      <c r="BM11" s="24"/>
      <c r="BN11" s="24"/>
      <c r="BO11" s="24"/>
    </row>
    <row r="12" spans="2:67" s="26" customFormat="1" ht="14.25" customHeight="1" x14ac:dyDescent="0.25">
      <c r="B12" s="111" t="s">
        <v>2</v>
      </c>
      <c r="C12" s="112" t="s">
        <v>3</v>
      </c>
      <c r="D12" s="207" t="s">
        <v>2</v>
      </c>
      <c r="E12" s="208"/>
      <c r="F12" s="209"/>
      <c r="G12" s="208" t="s">
        <v>4</v>
      </c>
      <c r="H12" s="208"/>
      <c r="I12" s="208"/>
      <c r="J12" s="28" t="s">
        <v>69</v>
      </c>
      <c r="K12" s="7" t="s">
        <v>75</v>
      </c>
      <c r="L12" s="25"/>
      <c r="M12" s="8" t="s">
        <v>24</v>
      </c>
      <c r="N12" s="170" t="s">
        <v>75</v>
      </c>
      <c r="O12" s="170" t="s">
        <v>76</v>
      </c>
      <c r="P12" s="170" t="s">
        <v>77</v>
      </c>
      <c r="Q12" s="10" t="s">
        <v>87</v>
      </c>
      <c r="S12" s="29" t="s">
        <v>71</v>
      </c>
      <c r="T12" s="170" t="s">
        <v>75</v>
      </c>
      <c r="U12" s="170" t="s">
        <v>88</v>
      </c>
      <c r="V12" s="10" t="s">
        <v>97</v>
      </c>
      <c r="Z12" s="81" t="s">
        <v>73</v>
      </c>
      <c r="AA12" s="81" t="s">
        <v>75</v>
      </c>
      <c r="AB12" s="81" t="s">
        <v>76</v>
      </c>
      <c r="AC12" s="81" t="s">
        <v>77</v>
      </c>
      <c r="AD12" s="81" t="s">
        <v>74</v>
      </c>
      <c r="AE12" s="81" t="s">
        <v>75</v>
      </c>
      <c r="AF12" s="81" t="s">
        <v>76</v>
      </c>
      <c r="AG12" s="81" t="s">
        <v>77</v>
      </c>
      <c r="AH12" s="107"/>
      <c r="AI12" s="82" t="s">
        <v>85</v>
      </c>
      <c r="AJ12" s="82" t="s">
        <v>84</v>
      </c>
      <c r="AK12" s="82" t="s">
        <v>83</v>
      </c>
      <c r="AL12" s="81" t="s">
        <v>82</v>
      </c>
      <c r="AM12" s="81" t="s">
        <v>81</v>
      </c>
      <c r="AN12" s="81" t="s">
        <v>78</v>
      </c>
      <c r="AO12" s="81" t="s">
        <v>75</v>
      </c>
      <c r="AP12" s="81" t="s">
        <v>76</v>
      </c>
      <c r="AQ12" s="81" t="s">
        <v>77</v>
      </c>
      <c r="AR12" s="82" t="s">
        <v>79</v>
      </c>
      <c r="AS12" s="107"/>
      <c r="AT12" s="81" t="s">
        <v>80</v>
      </c>
      <c r="AU12" s="81" t="s">
        <v>78</v>
      </c>
      <c r="AV12" s="81" t="s">
        <v>75</v>
      </c>
      <c r="AW12" s="81" t="s">
        <v>76</v>
      </c>
      <c r="AX12" s="81" t="s">
        <v>77</v>
      </c>
      <c r="AY12" s="82" t="s">
        <v>79</v>
      </c>
      <c r="AZ12" s="175"/>
      <c r="BA12" s="175"/>
      <c r="BB12" s="206"/>
      <c r="BC12" s="206"/>
      <c r="BD12" s="206"/>
      <c r="BE12" s="206"/>
      <c r="BF12" s="206"/>
      <c r="BG12" s="206"/>
      <c r="BH12" s="179"/>
      <c r="BI12" s="179"/>
      <c r="BJ12" s="110"/>
      <c r="BK12" s="114"/>
      <c r="BL12" s="24"/>
      <c r="BM12" s="24"/>
      <c r="BN12" s="24"/>
      <c r="BO12" s="24"/>
    </row>
    <row r="13" spans="2:67" ht="14.25" customHeight="1" x14ac:dyDescent="0.25">
      <c r="B13" s="16">
        <v>3</v>
      </c>
      <c r="C13" s="95">
        <v>44886</v>
      </c>
      <c r="D13" s="84" t="s">
        <v>54</v>
      </c>
      <c r="E13" s="85" t="s">
        <v>6</v>
      </c>
      <c r="F13" s="86" t="s">
        <v>61</v>
      </c>
      <c r="G13" s="62"/>
      <c r="H13" s="87" t="s">
        <v>6</v>
      </c>
      <c r="I13" s="62"/>
      <c r="J13" s="64" t="str">
        <f>IF(OR(ISBLANK(G13),ISBLANK(I13)),"",IF(G13&gt;I13,1,IF(G13&lt;I13,2,"X")))</f>
        <v/>
      </c>
      <c r="K13" s="63">
        <f>IF(OR(G13="",I13="",'Resultat &amp; tabell'!G13="",'Resultat &amp; tabell'!I13=""),0,IF(G13='Resultat &amp; tabell'!G13,2,0)+IF(I13='Resultat &amp; tabell'!I13,2,0)+IF(J13='Resultat &amp; tabell'!J13,3,0))</f>
        <v>0</v>
      </c>
      <c r="L13" s="12">
        <v>1</v>
      </c>
      <c r="M13" s="13" t="str">
        <f>VLOOKUP(L13,AT13:AY16,2,FALSE)</f>
        <v>England</v>
      </c>
      <c r="N13" s="14">
        <f>VLOOKUP(M13,$AU$13:$AY$16,2,FALSE)</f>
        <v>0</v>
      </c>
      <c r="O13" s="14">
        <f>VLOOKUP(M13,$AU$13:$AY$16,3,FALSE)</f>
        <v>0</v>
      </c>
      <c r="P13" s="14">
        <f>VLOOKUP(M13,$AU$13:$AY$16,4,FALSE)</f>
        <v>0</v>
      </c>
      <c r="Q13" s="15">
        <f>VLOOKUP(M13,$AU$13:$AY$16,5,FALSE)</f>
        <v>0</v>
      </c>
      <c r="S13" s="30" t="s">
        <v>94</v>
      </c>
      <c r="T13" s="47">
        <f>SUM(K4:K72)</f>
        <v>0</v>
      </c>
      <c r="U13" s="47">
        <v>0</v>
      </c>
      <c r="V13" s="48">
        <f t="shared" ref="V13:V18" si="21">SUM(T13:U13)</f>
        <v>0</v>
      </c>
      <c r="W13" s="5"/>
      <c r="Z13" s="88" t="str">
        <f>D13</f>
        <v>England</v>
      </c>
      <c r="AA13" s="89">
        <f t="shared" ref="AA13:AA18" si="22">IF(G13="",0,IF($G13&lt;$I13,0,IF($G13=$I13,1,3)))</f>
        <v>0</v>
      </c>
      <c r="AB13" s="89">
        <f t="shared" ref="AB13:AB18" si="23">G13</f>
        <v>0</v>
      </c>
      <c r="AC13" s="89">
        <f t="shared" ref="AC13:AC18" si="24">I13</f>
        <v>0</v>
      </c>
      <c r="AD13" s="88" t="str">
        <f>F13</f>
        <v>Iran</v>
      </c>
      <c r="AE13" s="89">
        <f t="shared" ref="AE13:AE18" si="25">IF(I13="",0,IF(I13&lt;G13,0,IF(G13=I13,1,3)))</f>
        <v>0</v>
      </c>
      <c r="AF13" s="73">
        <f t="shared" ref="AF13:AF18" si="26">I13</f>
        <v>0</v>
      </c>
      <c r="AG13" s="73">
        <f t="shared" ref="AG13:AG18" si="27">G13</f>
        <v>0</v>
      </c>
      <c r="AI13" s="72">
        <f>RANK($AJ13,$AJ$13:$AJ$16,1)+COUNTIF($AJ$13:$AJ13,$AJ13)-1</f>
        <v>1</v>
      </c>
      <c r="AJ13" s="72">
        <f>AK13+AL13+AM13</f>
        <v>1</v>
      </c>
      <c r="AK13" s="72">
        <f>SUMPRODUCT(($AO$13:$AO$16=AO13)*($AR$13:$AR$16=AR13)*($AP$13:$AP$16&gt;AP13))</f>
        <v>0</v>
      </c>
      <c r="AL13" s="72">
        <f>SUMPRODUCT(($AO$13:$AO$16=AO13)*($AR$13:$AR$16&gt;AR13))</f>
        <v>0</v>
      </c>
      <c r="AM13" s="72">
        <f>RANK(AO13,$AO$13:$AO$16)</f>
        <v>1</v>
      </c>
      <c r="AN13" s="88" t="s">
        <v>54</v>
      </c>
      <c r="AO13" s="72">
        <f>SUMIF($Z$13:$Z$18,$AN13,$AA$13:$AA$18)+SUMIF($AD$13:$AD$18,$AN13,$AE$13:$AE$18)</f>
        <v>0</v>
      </c>
      <c r="AP13" s="72">
        <f>SUMIF($Z$13:$Z$18,$AN13,$AB$13:$AB$18)+SUMIF($AD$13:$AD$18,$AN13,$AF$13:$AF$18)</f>
        <v>0</v>
      </c>
      <c r="AQ13" s="72">
        <f>SUMIF($Z$13:$Z$18,$AN13,$AC$13:$AC$18)+SUMIF($AD$13:$AD$18,$AN13,$AG$13:$AG$18)</f>
        <v>0</v>
      </c>
      <c r="AR13" s="72">
        <f>AP13-AQ13</f>
        <v>0</v>
      </c>
      <c r="AT13" s="72">
        <v>1</v>
      </c>
      <c r="AU13" s="72" t="str">
        <f>VLOOKUP($AT13,$AI$13:$AR$16,6,FALSE)</f>
        <v>England</v>
      </c>
      <c r="AV13" s="72">
        <f>VLOOKUP($AU13,$AN$13:$AR$16,2,FALSE)</f>
        <v>0</v>
      </c>
      <c r="AW13" s="72">
        <f>VLOOKUP($AU13,$AN$13:$AR$16,3,FALSE)</f>
        <v>0</v>
      </c>
      <c r="AX13" s="72">
        <f>VLOOKUP($AU13,$AN$13:$AR$16,4,FALSE)</f>
        <v>0</v>
      </c>
      <c r="AY13" s="72">
        <f>VLOOKUP($AU13,$AN$13:$AR$16,5,FALSE)</f>
        <v>0</v>
      </c>
      <c r="AZ13" s="177"/>
      <c r="BA13" s="182"/>
      <c r="BB13" s="177"/>
      <c r="BC13" s="181"/>
      <c r="BD13" s="177"/>
      <c r="BE13" s="181"/>
      <c r="BF13" s="181"/>
      <c r="BG13" s="181"/>
      <c r="BH13" s="181"/>
      <c r="BI13" s="178"/>
      <c r="BJ13" s="94"/>
      <c r="BK13" s="74"/>
      <c r="BL13" s="49"/>
      <c r="BM13" s="49"/>
      <c r="BN13" s="49"/>
      <c r="BO13" s="49"/>
    </row>
    <row r="14" spans="2:67" ht="14.25" customHeight="1" x14ac:dyDescent="0.25">
      <c r="B14" s="16">
        <v>4</v>
      </c>
      <c r="C14" s="95">
        <v>44886</v>
      </c>
      <c r="D14" s="84" t="s">
        <v>66</v>
      </c>
      <c r="E14" s="85" t="s">
        <v>6</v>
      </c>
      <c r="F14" s="86" t="s">
        <v>160</v>
      </c>
      <c r="G14" s="62"/>
      <c r="H14" s="87" t="s">
        <v>6</v>
      </c>
      <c r="I14" s="62"/>
      <c r="J14" s="64" t="str">
        <f t="shared" ref="J14:J18" si="28">IF(OR(ISBLANK(G14),ISBLANK(I14)),"",IF(G14&gt;I14,1,IF(G14&lt;I14,2,"X")))</f>
        <v/>
      </c>
      <c r="K14" s="63">
        <f>IF(OR(G14="",I14="",'Resultat &amp; tabell'!G14="",'Resultat &amp; tabell'!I14=""),0,IF(G14='Resultat &amp; tabell'!G14,2,0)+IF(I14='Resultat &amp; tabell'!I14,2,0)+IF(J14='Resultat &amp; tabell'!J14,3,0))</f>
        <v>0</v>
      </c>
      <c r="L14" s="2">
        <v>2</v>
      </c>
      <c r="M14" s="17" t="str">
        <f>VLOOKUP(L14,AT13:AY16,2,FALSE)</f>
        <v>Iran</v>
      </c>
      <c r="N14" s="18">
        <f>VLOOKUP(M14,$AU$13:$AY$16,2,FALSE)</f>
        <v>0</v>
      </c>
      <c r="O14" s="18">
        <f>VLOOKUP(M14,$AU$13:$AY$16,3,FALSE)</f>
        <v>0</v>
      </c>
      <c r="P14" s="18">
        <f>VLOOKUP(M14,$AU$13:$AY$16,4,FALSE)</f>
        <v>0</v>
      </c>
      <c r="Q14" s="19">
        <f>VLOOKUP(M14,$AU$13:$AY$16,5,FALSE)</f>
        <v>0</v>
      </c>
      <c r="S14" s="31" t="s">
        <v>1</v>
      </c>
      <c r="T14" s="49">
        <f>SUM(K76:K83)</f>
        <v>0</v>
      </c>
      <c r="U14" s="49">
        <f>P76</f>
        <v>0</v>
      </c>
      <c r="V14" s="50">
        <f t="shared" si="21"/>
        <v>0</v>
      </c>
      <c r="W14" s="5"/>
      <c r="Z14" s="88" t="str">
        <f t="shared" ref="Z14:Z18" si="29">D14</f>
        <v>USA</v>
      </c>
      <c r="AA14" s="89">
        <f t="shared" si="22"/>
        <v>0</v>
      </c>
      <c r="AB14" s="89">
        <f t="shared" si="23"/>
        <v>0</v>
      </c>
      <c r="AC14" s="89">
        <f t="shared" si="24"/>
        <v>0</v>
      </c>
      <c r="AD14" s="88" t="str">
        <f t="shared" ref="AD14:AD18" si="30">F14</f>
        <v>Wales</v>
      </c>
      <c r="AE14" s="89">
        <f t="shared" si="25"/>
        <v>0</v>
      </c>
      <c r="AF14" s="73">
        <f t="shared" si="26"/>
        <v>0</v>
      </c>
      <c r="AG14" s="73">
        <f t="shared" si="27"/>
        <v>0</v>
      </c>
      <c r="AI14" s="72">
        <f>RANK($AJ14,$AJ$13:$AJ$16,1)+COUNTIF($AJ$13:$AJ14,$AJ14)-1</f>
        <v>2</v>
      </c>
      <c r="AJ14" s="72">
        <f>AK14+AL14+AM14</f>
        <v>1</v>
      </c>
      <c r="AK14" s="72">
        <f>SUMPRODUCT(($AO$13:$AO$16=AO14)*($AR$13:$AR$16=AR14)*($AP$13:$AP$16&gt;AP14))</f>
        <v>0</v>
      </c>
      <c r="AL14" s="72">
        <f>SUMPRODUCT(($AO$13:$AO$16=AO14)*($AR$13:$AR$16&gt;AR14))</f>
        <v>0</v>
      </c>
      <c r="AM14" s="72">
        <f>RANK(AO14,$AO$13:$AO$16)</f>
        <v>1</v>
      </c>
      <c r="AN14" s="88" t="s">
        <v>61</v>
      </c>
      <c r="AO14" s="72">
        <f>SUMIF($Z$13:$Z$18,$AN14,$AA$13:$AA$18)+SUMIF($AD$13:$AD$18,$AN14,$AE$13:$AE$18)</f>
        <v>0</v>
      </c>
      <c r="AP14" s="72">
        <f>SUMIF($Z$13:$Z$18,$AN14,$AB$13:$AB$18)+SUMIF($AD$13:$AD$18,AN14,$AF$13:$AF$18)</f>
        <v>0</v>
      </c>
      <c r="AQ14" s="72">
        <f>SUMIF($Z$13:$Z$18,$AN14,$AC$13:$AC$18)+SUMIF($AD$13:$AD$18,$AN14,$AG$13:$AG$18)</f>
        <v>0</v>
      </c>
      <c r="AR14" s="72">
        <f>AP14-AQ14</f>
        <v>0</v>
      </c>
      <c r="AT14" s="72">
        <v>2</v>
      </c>
      <c r="AU14" s="72" t="str">
        <f>VLOOKUP($AT14,$AI$13:$AR$16,6,FALSE)</f>
        <v>Iran</v>
      </c>
      <c r="AV14" s="72">
        <f>VLOOKUP($AU14,$AN$13:$AR$16,2,FALSE)</f>
        <v>0</v>
      </c>
      <c r="AW14" s="72">
        <f>VLOOKUP($AU14,$AN$13:$AR$16,3,FALSE)</f>
        <v>0</v>
      </c>
      <c r="AX14" s="72">
        <f>VLOOKUP($AU14,$AN$13:$AR$16,4,FALSE)</f>
        <v>0</v>
      </c>
      <c r="AY14" s="72">
        <f>VLOOKUP($AU14,$AN$13:$AR$16,5,FALSE)</f>
        <v>0</v>
      </c>
      <c r="AZ14" s="177"/>
      <c r="BA14" s="182"/>
      <c r="BB14" s="177"/>
      <c r="BC14" s="181"/>
      <c r="BD14" s="177"/>
      <c r="BE14" s="181"/>
      <c r="BF14" s="181"/>
      <c r="BG14" s="181"/>
      <c r="BH14" s="181"/>
      <c r="BI14" s="178"/>
      <c r="BK14" s="74"/>
      <c r="BL14" s="49"/>
      <c r="BM14" s="49"/>
      <c r="BN14" s="49"/>
      <c r="BO14" s="49"/>
    </row>
    <row r="15" spans="2:67" ht="14.25" customHeight="1" x14ac:dyDescent="0.25">
      <c r="B15" s="16">
        <v>17</v>
      </c>
      <c r="C15" s="95">
        <v>44890</v>
      </c>
      <c r="D15" s="84" t="s">
        <v>160</v>
      </c>
      <c r="E15" s="85" t="s">
        <v>6</v>
      </c>
      <c r="F15" s="86" t="s">
        <v>61</v>
      </c>
      <c r="G15" s="62"/>
      <c r="H15" s="87" t="s">
        <v>6</v>
      </c>
      <c r="I15" s="62"/>
      <c r="J15" s="64" t="str">
        <f t="shared" si="28"/>
        <v/>
      </c>
      <c r="K15" s="63">
        <f>IF(OR(G15="",I15="",'Resultat &amp; tabell'!G15="",'Resultat &amp; tabell'!I15=""),0,IF(G15='Resultat &amp; tabell'!G15,2,0)+IF(I15='Resultat &amp; tabell'!I15,2,0)+IF(J15='Resultat &amp; tabell'!J15,3,0))</f>
        <v>0</v>
      </c>
      <c r="L15" s="2">
        <v>3</v>
      </c>
      <c r="M15" s="20" t="str">
        <f>VLOOKUP(L15,AT13:AY16,2,FALSE)</f>
        <v>USA</v>
      </c>
      <c r="N15" s="32">
        <f>VLOOKUP(M15,$AU$13:$AY$16,2,FALSE)</f>
        <v>0</v>
      </c>
      <c r="O15" s="32">
        <f>VLOOKUP(M15,$AU$13:$AY$16,3,FALSE)</f>
        <v>0</v>
      </c>
      <c r="P15" s="32">
        <f>VLOOKUP(M15,$AU$13:$AY$16,4,FALSE)</f>
        <v>0</v>
      </c>
      <c r="Q15" s="33">
        <f>VLOOKUP(M15,$AU$13:$AY$16,5,FALSE)</f>
        <v>0</v>
      </c>
      <c r="S15" s="31" t="s">
        <v>28</v>
      </c>
      <c r="T15" s="49">
        <f>SUM(K87:K90)</f>
        <v>0</v>
      </c>
      <c r="U15" s="49">
        <f>P87</f>
        <v>0</v>
      </c>
      <c r="V15" s="50">
        <f t="shared" si="21"/>
        <v>0</v>
      </c>
      <c r="W15" s="5"/>
      <c r="Z15" s="88" t="str">
        <f t="shared" si="29"/>
        <v>Wales</v>
      </c>
      <c r="AA15" s="89">
        <f t="shared" si="22"/>
        <v>0</v>
      </c>
      <c r="AB15" s="89">
        <f t="shared" si="23"/>
        <v>0</v>
      </c>
      <c r="AC15" s="89">
        <f t="shared" si="24"/>
        <v>0</v>
      </c>
      <c r="AD15" s="88" t="str">
        <f t="shared" si="30"/>
        <v>Iran</v>
      </c>
      <c r="AE15" s="89">
        <f t="shared" si="25"/>
        <v>0</v>
      </c>
      <c r="AF15" s="73">
        <f t="shared" si="26"/>
        <v>0</v>
      </c>
      <c r="AG15" s="73">
        <f t="shared" si="27"/>
        <v>0</v>
      </c>
      <c r="AI15" s="72">
        <f>RANK($AJ15,$AJ$13:$AJ$16,1)+COUNTIF($AJ$13:$AJ15,$AJ15)-1</f>
        <v>3</v>
      </c>
      <c r="AJ15" s="72">
        <f>AK15+AL15+AM15</f>
        <v>1</v>
      </c>
      <c r="AK15" s="72">
        <f>SUMPRODUCT(($AO$13:$AO$16=AO15)*($AR$13:$AR$16=AR15)*($AP$13:$AP$16&gt;AP15))</f>
        <v>0</v>
      </c>
      <c r="AL15" s="72">
        <f>SUMPRODUCT(($AO$13:$AO$16=AO15)*($AR$13:$AR$16&gt;AR15))</f>
        <v>0</v>
      </c>
      <c r="AM15" s="72">
        <f>RANK(AO15,$AO$13:$AO$16)</f>
        <v>1</v>
      </c>
      <c r="AN15" s="88" t="s">
        <v>66</v>
      </c>
      <c r="AO15" s="72">
        <f>SUMIF($Z$13:$Z$18,$AN15,$AA$13:$AA$18)+SUMIF($AD$13:$AD$18,$AN15,$AE$13:$AE$18)</f>
        <v>0</v>
      </c>
      <c r="AP15" s="72">
        <f>SUMIF($Z$13:$Z$18,$AN15,$AB$13:$AB$18)+SUMIF($AD$13:$AD$18,AN15,$AF$13:$AF$18)</f>
        <v>0</v>
      </c>
      <c r="AQ15" s="72">
        <f>SUMIF($Z$13:$Z$18,$AN15,$AC$13:$AC$18)+SUMIF($AD$13:$AD$18,$AN15,$AG$13:$AG$18)</f>
        <v>0</v>
      </c>
      <c r="AR15" s="72">
        <f>AP15-AQ15</f>
        <v>0</v>
      </c>
      <c r="AT15" s="72">
        <v>3</v>
      </c>
      <c r="AU15" s="72" t="str">
        <f>VLOOKUP($AT15,$AI$13:$AR$16,6,FALSE)</f>
        <v>USA</v>
      </c>
      <c r="AV15" s="72">
        <f>VLOOKUP($AU15,$AN$13:$AR$16,2,FALSE)</f>
        <v>0</v>
      </c>
      <c r="AW15" s="72">
        <f>VLOOKUP($AU15,$AN$13:$AR$16,3,FALSE)</f>
        <v>0</v>
      </c>
      <c r="AX15" s="72">
        <f>VLOOKUP($AU15,$AN$13:$AR$16,4,FALSE)</f>
        <v>0</v>
      </c>
      <c r="AY15" s="72">
        <f>VLOOKUP($AU15,$AN$13:$AR$16,5,FALSE)</f>
        <v>0</v>
      </c>
      <c r="AZ15" s="177"/>
      <c r="BA15" s="182"/>
      <c r="BB15" s="177"/>
      <c r="BC15" s="181"/>
      <c r="BD15" s="177"/>
      <c r="BE15" s="181"/>
      <c r="BF15" s="181"/>
      <c r="BG15" s="181"/>
      <c r="BH15" s="181"/>
      <c r="BI15" s="178"/>
      <c r="BK15" s="45"/>
      <c r="BL15" s="49"/>
      <c r="BM15" s="49"/>
      <c r="BN15" s="49"/>
      <c r="BO15" s="49"/>
    </row>
    <row r="16" spans="2:67" ht="14.25" customHeight="1" x14ac:dyDescent="0.25">
      <c r="B16" s="16">
        <v>20</v>
      </c>
      <c r="C16" s="95">
        <v>44890</v>
      </c>
      <c r="D16" s="84" t="s">
        <v>54</v>
      </c>
      <c r="E16" s="85" t="s">
        <v>6</v>
      </c>
      <c r="F16" s="86" t="s">
        <v>66</v>
      </c>
      <c r="G16" s="62"/>
      <c r="H16" s="87" t="s">
        <v>6</v>
      </c>
      <c r="I16" s="62"/>
      <c r="J16" s="64" t="str">
        <f t="shared" si="28"/>
        <v/>
      </c>
      <c r="K16" s="63">
        <f>IF(OR(G16="",I16="",'Resultat &amp; tabell'!G16="",'Resultat &amp; tabell'!I16=""),0,IF(G16='Resultat &amp; tabell'!G16,2,0)+IF(I16='Resultat &amp; tabell'!I16,2,0)+IF(J16='Resultat &amp; tabell'!J16,3,0))</f>
        <v>0</v>
      </c>
      <c r="L16" s="2">
        <v>4</v>
      </c>
      <c r="M16" s="21" t="str">
        <f>VLOOKUP(L16,AT13:AY16,2,FALSE)</f>
        <v>Wales</v>
      </c>
      <c r="N16" s="18">
        <f>VLOOKUP(M16,$AU$13:$AY$16,2,FALSE)</f>
        <v>0</v>
      </c>
      <c r="O16" s="18">
        <f>VLOOKUP(M16,$AU$13:$AY$16,3,FALSE)</f>
        <v>0</v>
      </c>
      <c r="P16" s="18">
        <f>VLOOKUP(M16,$AU$13:$AY$16,4,FALSE)</f>
        <v>0</v>
      </c>
      <c r="Q16" s="19">
        <f>VLOOKUP(M16,$AU$13:$AY$16,5,FALSE)</f>
        <v>0</v>
      </c>
      <c r="S16" s="31" t="s">
        <v>39</v>
      </c>
      <c r="T16" s="49">
        <f>SUM(K94:K95)</f>
        <v>0</v>
      </c>
      <c r="U16" s="49">
        <f>P94</f>
        <v>0</v>
      </c>
      <c r="V16" s="50">
        <f t="shared" si="21"/>
        <v>0</v>
      </c>
      <c r="W16" s="5"/>
      <c r="Z16" s="88" t="str">
        <f t="shared" si="29"/>
        <v>England</v>
      </c>
      <c r="AA16" s="89">
        <f t="shared" si="22"/>
        <v>0</v>
      </c>
      <c r="AB16" s="89">
        <f t="shared" si="23"/>
        <v>0</v>
      </c>
      <c r="AC16" s="89">
        <f t="shared" si="24"/>
        <v>0</v>
      </c>
      <c r="AD16" s="88" t="str">
        <f t="shared" si="30"/>
        <v>USA</v>
      </c>
      <c r="AE16" s="89">
        <f t="shared" si="25"/>
        <v>0</v>
      </c>
      <c r="AF16" s="73">
        <f t="shared" si="26"/>
        <v>0</v>
      </c>
      <c r="AG16" s="73">
        <f t="shared" si="27"/>
        <v>0</v>
      </c>
      <c r="AI16" s="72">
        <f>RANK($AJ16,$AJ$13:$AJ$16,1)+COUNTIF($AJ$13:$AJ16,$AJ16)-1</f>
        <v>4</v>
      </c>
      <c r="AJ16" s="72">
        <f>AK16+AL16+AM16</f>
        <v>1</v>
      </c>
      <c r="AK16" s="72">
        <f>SUMPRODUCT(($AO$13:$AO$16=AO16)*($AR$13:$AR$16=AR16)*($AP$13:$AP$16&gt;AP16))</f>
        <v>0</v>
      </c>
      <c r="AL16" s="72">
        <f>SUMPRODUCT(($AO$13:$AO$16=AO16)*($AR$13:$AR$16&gt;AR16))</f>
        <v>0</v>
      </c>
      <c r="AM16" s="72">
        <f>RANK(AO16,$AO$13:$AO$16)</f>
        <v>1</v>
      </c>
      <c r="AN16" s="88" t="s">
        <v>160</v>
      </c>
      <c r="AO16" s="72">
        <f>SUMIF($Z$13:$Z$18,$AN16,$AA$13:$AA$18)+SUMIF($AD$13:$AD$18,$AN16,$AE$13:$AE$18)</f>
        <v>0</v>
      </c>
      <c r="AP16" s="72">
        <f>SUMIF($Z$13:$Z$18,$AN16,$AB$13:$AB$18)+SUMIF($AD$13:$AD$18,AN16,$AF$13:$AF$18)</f>
        <v>0</v>
      </c>
      <c r="AQ16" s="72">
        <f>SUMIF($Z$13:$Z$18,$AN16,$AC$13:$AC$18)+SUMIF($AD$13:$AD$18,$AN16,$AG$13:$AG$18)</f>
        <v>0</v>
      </c>
      <c r="AR16" s="72">
        <f>AP16-AQ16</f>
        <v>0</v>
      </c>
      <c r="AT16" s="72">
        <v>4</v>
      </c>
      <c r="AU16" s="72" t="str">
        <f>VLOOKUP($AT16,$AI$13:$AR$16,6,FALSE)</f>
        <v>Wales</v>
      </c>
      <c r="AV16" s="72">
        <f>VLOOKUP($AU16,$AN$13:$AR$16,2,FALSE)</f>
        <v>0</v>
      </c>
      <c r="AW16" s="72">
        <f>VLOOKUP($AU16,$AN$13:$AR$16,3,FALSE)</f>
        <v>0</v>
      </c>
      <c r="AX16" s="72">
        <f>VLOOKUP($AU16,$AN$13:$AR$16,4,FALSE)</f>
        <v>0</v>
      </c>
      <c r="AY16" s="72">
        <f>VLOOKUP($AU16,$AN$13:$AR$16,5,FALSE)</f>
        <v>0</v>
      </c>
      <c r="AZ16" s="177"/>
      <c r="BA16" s="182"/>
      <c r="BB16" s="177"/>
      <c r="BC16" s="181"/>
      <c r="BD16" s="177"/>
      <c r="BE16" s="181"/>
      <c r="BF16" s="181"/>
      <c r="BG16" s="181"/>
      <c r="BH16" s="181"/>
      <c r="BI16" s="178"/>
      <c r="BK16" s="45"/>
      <c r="BL16" s="49"/>
      <c r="BM16" s="49"/>
      <c r="BN16" s="49"/>
      <c r="BO16" s="49"/>
    </row>
    <row r="17" spans="2:67" ht="14.25" customHeight="1" x14ac:dyDescent="0.25">
      <c r="B17" s="16">
        <v>33</v>
      </c>
      <c r="C17" s="95">
        <v>44894</v>
      </c>
      <c r="D17" s="84" t="s">
        <v>160</v>
      </c>
      <c r="E17" s="85" t="s">
        <v>6</v>
      </c>
      <c r="F17" s="86" t="s">
        <v>54</v>
      </c>
      <c r="G17" s="62"/>
      <c r="H17" s="87" t="s">
        <v>6</v>
      </c>
      <c r="I17" s="62"/>
      <c r="J17" s="64" t="str">
        <f t="shared" si="28"/>
        <v/>
      </c>
      <c r="K17" s="63">
        <f>IF(OR(G17="",I17="",'Resultat &amp; tabell'!G17="",'Resultat &amp; tabell'!I17=""),0,IF(G17='Resultat &amp; tabell'!G17,2,0)+IF(I17='Resultat &amp; tabell'!I17,2,0)+IF(J17='Resultat &amp; tabell'!J17,3,0))</f>
        <v>0</v>
      </c>
      <c r="M17" s="187">
        <f>COUNTBLANK(G13:G18)+COUNTBLANK(I13:I18)</f>
        <v>12</v>
      </c>
      <c r="N17" s="23"/>
      <c r="O17" s="23"/>
      <c r="P17" s="23"/>
      <c r="Q17" s="23"/>
      <c r="S17" s="31" t="s">
        <v>45</v>
      </c>
      <c r="T17" s="49">
        <f>SUM(K99)</f>
        <v>0</v>
      </c>
      <c r="U17" s="49">
        <f>P99</f>
        <v>0</v>
      </c>
      <c r="V17" s="50">
        <f t="shared" si="21"/>
        <v>0</v>
      </c>
      <c r="W17" s="5"/>
      <c r="Z17" s="88" t="str">
        <f t="shared" si="29"/>
        <v>Wales</v>
      </c>
      <c r="AA17" s="89">
        <f t="shared" si="22"/>
        <v>0</v>
      </c>
      <c r="AB17" s="89">
        <f t="shared" si="23"/>
        <v>0</v>
      </c>
      <c r="AC17" s="89">
        <f t="shared" si="24"/>
        <v>0</v>
      </c>
      <c r="AD17" s="88" t="str">
        <f t="shared" si="30"/>
        <v>England</v>
      </c>
      <c r="AE17" s="89">
        <f t="shared" si="25"/>
        <v>0</v>
      </c>
      <c r="AF17" s="73">
        <f t="shared" si="26"/>
        <v>0</v>
      </c>
      <c r="AG17" s="73">
        <f t="shared" si="27"/>
        <v>0</v>
      </c>
      <c r="AZ17" s="177"/>
      <c r="BA17" s="182"/>
      <c r="BB17" s="177"/>
      <c r="BC17" s="181"/>
      <c r="BD17" s="177"/>
      <c r="BE17" s="181"/>
      <c r="BF17" s="181"/>
      <c r="BG17" s="181"/>
      <c r="BH17" s="181"/>
      <c r="BI17" s="178"/>
      <c r="BL17" s="49"/>
      <c r="BM17" s="49"/>
      <c r="BN17" s="49"/>
      <c r="BO17" s="49"/>
    </row>
    <row r="18" spans="2:67" ht="14.25" customHeight="1" x14ac:dyDescent="0.25">
      <c r="B18" s="16">
        <v>34</v>
      </c>
      <c r="C18" s="95">
        <v>44894</v>
      </c>
      <c r="D18" s="84" t="s">
        <v>61</v>
      </c>
      <c r="E18" s="85" t="s">
        <v>6</v>
      </c>
      <c r="F18" s="86" t="s">
        <v>66</v>
      </c>
      <c r="G18" s="62"/>
      <c r="H18" s="87" t="s">
        <v>6</v>
      </c>
      <c r="I18" s="62"/>
      <c r="J18" s="64" t="str">
        <f t="shared" si="28"/>
        <v/>
      </c>
      <c r="K18" s="63">
        <f>IF(OR(G18="",I18="",'Resultat &amp; tabell'!G18="",'Resultat &amp; tabell'!I18=""),0,IF(G18='Resultat &amp; tabell'!G18,2,0)+IF(I18='Resultat &amp; tabell'!I18,2,0)+IF(J18='Resultat &amp; tabell'!J18,3,0))</f>
        <v>0</v>
      </c>
      <c r="M18" s="115"/>
      <c r="N18" s="23"/>
      <c r="O18" s="23"/>
      <c r="P18" s="23"/>
      <c r="Q18" s="23"/>
      <c r="S18" s="31" t="s">
        <v>49</v>
      </c>
      <c r="T18" s="49">
        <f>SUM(K103)</f>
        <v>0</v>
      </c>
      <c r="U18" s="49">
        <f>P103</f>
        <v>0</v>
      </c>
      <c r="V18" s="50">
        <f t="shared" si="21"/>
        <v>0</v>
      </c>
      <c r="W18" s="5"/>
      <c r="Z18" s="88" t="str">
        <f t="shared" si="29"/>
        <v>Iran</v>
      </c>
      <c r="AA18" s="89">
        <f t="shared" si="22"/>
        <v>0</v>
      </c>
      <c r="AB18" s="89">
        <f t="shared" si="23"/>
        <v>0</v>
      </c>
      <c r="AC18" s="89">
        <f t="shared" si="24"/>
        <v>0</v>
      </c>
      <c r="AD18" s="88" t="str">
        <f t="shared" si="30"/>
        <v>USA</v>
      </c>
      <c r="AE18" s="89">
        <f t="shared" si="25"/>
        <v>0</v>
      </c>
      <c r="AF18" s="73">
        <f t="shared" si="26"/>
        <v>0</v>
      </c>
      <c r="AG18" s="73">
        <f t="shared" si="27"/>
        <v>0</v>
      </c>
      <c r="AJ18" s="116"/>
      <c r="AZ18" s="177"/>
      <c r="BA18" s="182"/>
      <c r="BB18" s="177"/>
      <c r="BC18" s="181"/>
      <c r="BD18" s="177"/>
      <c r="BE18" s="181"/>
      <c r="BF18" s="181"/>
      <c r="BG18" s="181"/>
      <c r="BH18" s="181"/>
      <c r="BI18" s="178"/>
      <c r="BL18" s="49"/>
      <c r="BM18" s="49"/>
      <c r="BN18" s="49"/>
      <c r="BO18" s="49"/>
    </row>
    <row r="19" spans="2:67" ht="14.25" customHeight="1" x14ac:dyDescent="0.25">
      <c r="C19" s="38"/>
      <c r="E19" s="117"/>
      <c r="I19" s="115"/>
      <c r="J19" s="24"/>
      <c r="K19" s="24"/>
      <c r="M19" s="117"/>
      <c r="N19" s="23"/>
      <c r="O19" s="23"/>
      <c r="P19" s="23"/>
      <c r="Q19" s="23"/>
      <c r="S19" s="34" t="s">
        <v>70</v>
      </c>
      <c r="T19" s="49">
        <v>0</v>
      </c>
      <c r="U19" s="23">
        <f>SUM(X4:X6)</f>
        <v>0</v>
      </c>
      <c r="V19" s="50">
        <f>SUM(T19:U19)</f>
        <v>0</v>
      </c>
      <c r="W19" s="26"/>
      <c r="X19" s="26"/>
      <c r="AZ19" s="177"/>
      <c r="BA19" s="182"/>
      <c r="BB19" s="177"/>
      <c r="BC19" s="181"/>
      <c r="BD19" s="177"/>
      <c r="BE19" s="181"/>
      <c r="BF19" s="181"/>
      <c r="BG19" s="181"/>
      <c r="BH19" s="181"/>
      <c r="BI19" s="178"/>
      <c r="BL19" s="49"/>
      <c r="BM19" s="49"/>
      <c r="BN19" s="49"/>
      <c r="BO19" s="49"/>
    </row>
    <row r="20" spans="2:67" s="26" customFormat="1" ht="12.75" customHeight="1" x14ac:dyDescent="0.25">
      <c r="B20" s="6" t="s">
        <v>38</v>
      </c>
      <c r="C20" s="104"/>
      <c r="D20" s="117"/>
      <c r="E20" s="27"/>
      <c r="F20" s="117"/>
      <c r="G20" s="27"/>
      <c r="H20" s="27"/>
      <c r="I20" s="117"/>
      <c r="J20" s="117"/>
      <c r="K20" s="24"/>
      <c r="L20" s="25"/>
      <c r="N20" s="27"/>
      <c r="O20" s="27"/>
      <c r="P20" s="27"/>
      <c r="Q20" s="27"/>
      <c r="S20" s="59" t="s">
        <v>96</v>
      </c>
      <c r="T20" s="118"/>
      <c r="U20" s="118"/>
      <c r="V20" s="171">
        <f>SUM(V13:V19)</f>
        <v>0</v>
      </c>
      <c r="Z20" s="70"/>
      <c r="AA20" s="89"/>
      <c r="AB20" s="89"/>
      <c r="AC20" s="89"/>
      <c r="AD20" s="70"/>
      <c r="AE20" s="107"/>
      <c r="AF20" s="108"/>
      <c r="AG20" s="108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75"/>
      <c r="BA20" s="183"/>
      <c r="BB20" s="175"/>
      <c r="BC20" s="179"/>
      <c r="BD20" s="175"/>
      <c r="BE20" s="179"/>
      <c r="BF20" s="179"/>
      <c r="BG20" s="179"/>
      <c r="BH20" s="179"/>
      <c r="BI20" s="179"/>
      <c r="BJ20" s="110"/>
      <c r="BK20" s="1"/>
      <c r="BL20" s="24"/>
      <c r="BM20" s="24"/>
      <c r="BN20" s="24"/>
      <c r="BO20" s="24"/>
    </row>
    <row r="21" spans="2:67" s="26" customFormat="1" ht="14.25" customHeight="1" x14ac:dyDescent="0.25">
      <c r="B21" s="119" t="s">
        <v>2</v>
      </c>
      <c r="C21" s="112" t="s">
        <v>3</v>
      </c>
      <c r="D21" s="207" t="s">
        <v>2</v>
      </c>
      <c r="E21" s="208"/>
      <c r="F21" s="209"/>
      <c r="G21" s="208" t="s">
        <v>4</v>
      </c>
      <c r="H21" s="208"/>
      <c r="I21" s="208"/>
      <c r="J21" s="28" t="s">
        <v>69</v>
      </c>
      <c r="K21" s="7" t="s">
        <v>75</v>
      </c>
      <c r="L21" s="25"/>
      <c r="M21" s="8" t="s">
        <v>38</v>
      </c>
      <c r="N21" s="170" t="s">
        <v>75</v>
      </c>
      <c r="O21" s="170" t="s">
        <v>76</v>
      </c>
      <c r="P21" s="170" t="s">
        <v>77</v>
      </c>
      <c r="Q21" s="10" t="s">
        <v>87</v>
      </c>
      <c r="W21" s="120"/>
      <c r="Z21" s="81" t="s">
        <v>73</v>
      </c>
      <c r="AA21" s="81" t="s">
        <v>75</v>
      </c>
      <c r="AB21" s="81" t="s">
        <v>76</v>
      </c>
      <c r="AC21" s="81" t="s">
        <v>77</v>
      </c>
      <c r="AD21" s="81" t="s">
        <v>74</v>
      </c>
      <c r="AE21" s="81" t="s">
        <v>75</v>
      </c>
      <c r="AF21" s="81" t="s">
        <v>76</v>
      </c>
      <c r="AG21" s="81" t="s">
        <v>77</v>
      </c>
      <c r="AH21" s="107"/>
      <c r="AI21" s="82" t="s">
        <v>85</v>
      </c>
      <c r="AJ21" s="82" t="s">
        <v>84</v>
      </c>
      <c r="AK21" s="82" t="s">
        <v>83</v>
      </c>
      <c r="AL21" s="81" t="s">
        <v>82</v>
      </c>
      <c r="AM21" s="81" t="s">
        <v>81</v>
      </c>
      <c r="AN21" s="81" t="s">
        <v>78</v>
      </c>
      <c r="AO21" s="81" t="s">
        <v>75</v>
      </c>
      <c r="AP21" s="81" t="s">
        <v>76</v>
      </c>
      <c r="AQ21" s="81" t="s">
        <v>77</v>
      </c>
      <c r="AR21" s="82" t="s">
        <v>79</v>
      </c>
      <c r="AS21" s="107"/>
      <c r="AT21" s="81" t="s">
        <v>80</v>
      </c>
      <c r="AU21" s="81" t="s">
        <v>78</v>
      </c>
      <c r="AV21" s="81" t="s">
        <v>75</v>
      </c>
      <c r="AW21" s="81" t="s">
        <v>76</v>
      </c>
      <c r="AX21" s="81" t="s">
        <v>77</v>
      </c>
      <c r="AY21" s="82" t="s">
        <v>79</v>
      </c>
      <c r="AZ21" s="175"/>
      <c r="BA21" s="175"/>
      <c r="BB21" s="206"/>
      <c r="BC21" s="206"/>
      <c r="BD21" s="206"/>
      <c r="BE21" s="206"/>
      <c r="BF21" s="206"/>
      <c r="BG21" s="206"/>
      <c r="BH21" s="179"/>
      <c r="BI21" s="179"/>
      <c r="BJ21" s="110"/>
      <c r="BK21" s="114"/>
      <c r="BL21" s="24"/>
      <c r="BM21" s="24"/>
      <c r="BN21" s="24"/>
      <c r="BO21" s="24"/>
    </row>
    <row r="22" spans="2:67" ht="14.25" customHeight="1" x14ac:dyDescent="0.25">
      <c r="B22" s="16">
        <v>7</v>
      </c>
      <c r="C22" s="95">
        <v>44887</v>
      </c>
      <c r="D22" s="84" t="s">
        <v>10</v>
      </c>
      <c r="E22" s="85" t="s">
        <v>6</v>
      </c>
      <c r="F22" s="86" t="s">
        <v>150</v>
      </c>
      <c r="G22" s="62"/>
      <c r="H22" s="87" t="s">
        <v>6</v>
      </c>
      <c r="I22" s="62"/>
      <c r="J22" s="64" t="str">
        <f>IF(OR(ISBLANK(G22),ISBLANK(I22)),"",IF(G22&gt;I22,1,IF(G22&lt;I22,2,"X")))</f>
        <v/>
      </c>
      <c r="K22" s="63">
        <f>IF(OR(G22="",I22="",'Resultat &amp; tabell'!G22="",'Resultat &amp; tabell'!I22=""),0,IF(G22='Resultat &amp; tabell'!G22,2,0)+IF(I22='Resultat &amp; tabell'!I22,2,0)+IF(J22='Resultat &amp; tabell'!J22,3,0))</f>
        <v>0</v>
      </c>
      <c r="L22" s="12">
        <v>1</v>
      </c>
      <c r="M22" s="13" t="str">
        <f>VLOOKUP(L22,AT22:AY25,2,FALSE)</f>
        <v>Argentina</v>
      </c>
      <c r="N22" s="14">
        <f>VLOOKUP(M22,$AU$22:$AY$25,2,FALSE)</f>
        <v>0</v>
      </c>
      <c r="O22" s="14">
        <f>VLOOKUP(M22,$AU$22:$AY$25,3,FALSE)</f>
        <v>0</v>
      </c>
      <c r="P22" s="14">
        <f>VLOOKUP(M22,$AU$22:$AY$25,4,FALSE)</f>
        <v>0</v>
      </c>
      <c r="Q22" s="15">
        <f>VLOOKUP(M22,$AU$22:$AY$25,5,FALSE)</f>
        <v>0</v>
      </c>
      <c r="S22" s="5"/>
      <c r="T22" s="5"/>
      <c r="U22" s="5"/>
      <c r="V22" s="5"/>
      <c r="W22" s="5"/>
      <c r="Z22" s="88" t="str">
        <f>D22</f>
        <v>Mexiko</v>
      </c>
      <c r="AA22" s="89">
        <f t="shared" ref="AA22:AA27" si="31">IF(G22="",0,IF($G22&lt;$I22,0,IF($G22=$I22,1,3)))</f>
        <v>0</v>
      </c>
      <c r="AB22" s="89">
        <f t="shared" ref="AB22:AB27" si="32">G22</f>
        <v>0</v>
      </c>
      <c r="AC22" s="89">
        <f t="shared" ref="AC22:AC27" si="33">I22</f>
        <v>0</v>
      </c>
      <c r="AD22" s="88" t="str">
        <f>F22</f>
        <v>Polen</v>
      </c>
      <c r="AE22" s="89">
        <f t="shared" ref="AE22:AE27" si="34">IF(I22="",0,IF(I22&lt;G22,0,IF(G22=I22,1,3)))</f>
        <v>0</v>
      </c>
      <c r="AF22" s="73">
        <f t="shared" ref="AF22:AF27" si="35">I22</f>
        <v>0</v>
      </c>
      <c r="AG22" s="73">
        <f t="shared" ref="AG22:AG27" si="36">G22</f>
        <v>0</v>
      </c>
      <c r="AI22" s="72">
        <f>RANK($AJ22,$AJ$22:$AJ$25,1)+COUNTIF($AJ$22:$AJ22,$AJ22)-1</f>
        <v>1</v>
      </c>
      <c r="AJ22" s="72">
        <f>AK22+AL22+AM22</f>
        <v>1</v>
      </c>
      <c r="AK22" s="72">
        <f>SUMPRODUCT(($AO$22:$AO$25=AO22)*($AR$22:$AR$25=AR22)*($AP$22:$AP$25&gt;AP22))</f>
        <v>0</v>
      </c>
      <c r="AL22" s="72">
        <f>SUMPRODUCT(($AO$22:$AO$25=AO22)*($AR$22:$AR$25&gt;AR22))</f>
        <v>0</v>
      </c>
      <c r="AM22" s="72">
        <f>RANK(AO22,$AO$22:$AO$25)</f>
        <v>1</v>
      </c>
      <c r="AN22" s="88" t="s">
        <v>60</v>
      </c>
      <c r="AO22" s="72">
        <f>SUMIF($Z$22:$Z$27,$AN22,$AA$22:$AA$27)+SUMIF($AD$22:$AD$27,$AN22,$AE$22:$AE$27)</f>
        <v>0</v>
      </c>
      <c r="AP22" s="72">
        <f>SUMIF($Z$22:$Z$27,$AN22,$AB$22:$AB$27)+SUMIF($AD$22:$AD$27,$AN22,$AF$22:$AF$27)</f>
        <v>0</v>
      </c>
      <c r="AQ22" s="72">
        <f>SUMIF($Z$22:$Z$27,$AN22,$AC$22:$AC$27)+SUMIF($AD$22:$AD$27,$AN22,$AG$22:$AG$27)</f>
        <v>0</v>
      </c>
      <c r="AR22" s="72">
        <f>AP22-AQ22</f>
        <v>0</v>
      </c>
      <c r="AT22" s="72">
        <v>1</v>
      </c>
      <c r="AU22" s="72" t="str">
        <f>VLOOKUP($AT22,$AI$22:$AR$25,6,FALSE)</f>
        <v>Argentina</v>
      </c>
      <c r="AV22" s="72">
        <f>VLOOKUP($AU22,$AN$22:$AR$25,2,FALSE)</f>
        <v>0</v>
      </c>
      <c r="AW22" s="72">
        <f>VLOOKUP($AU22,$AN$22:$AR$25,3,FALSE)</f>
        <v>0</v>
      </c>
      <c r="AX22" s="72">
        <f>VLOOKUP($AU22,$AN$22:$AR$25,4,FALSE)</f>
        <v>0</v>
      </c>
      <c r="AY22" s="72">
        <f>VLOOKUP($AU22,$AN$22:$AR$25,5,FALSE)</f>
        <v>0</v>
      </c>
      <c r="AZ22" s="177"/>
      <c r="BA22" s="182"/>
      <c r="BB22" s="177"/>
      <c r="BC22" s="181"/>
      <c r="BD22" s="177"/>
      <c r="BE22" s="181"/>
      <c r="BF22" s="181"/>
      <c r="BG22" s="181"/>
      <c r="BH22" s="181"/>
      <c r="BI22" s="178"/>
      <c r="BJ22" s="94"/>
      <c r="BK22" s="74"/>
      <c r="BL22" s="49"/>
      <c r="BM22" s="49"/>
      <c r="BN22" s="49"/>
      <c r="BO22" s="49"/>
    </row>
    <row r="23" spans="2:67" ht="14.25" customHeight="1" x14ac:dyDescent="0.25">
      <c r="B23" s="16">
        <v>8</v>
      </c>
      <c r="C23" s="95">
        <v>44887</v>
      </c>
      <c r="D23" s="84" t="s">
        <v>60</v>
      </c>
      <c r="E23" s="85" t="s">
        <v>6</v>
      </c>
      <c r="F23" s="86" t="s">
        <v>195</v>
      </c>
      <c r="G23" s="62"/>
      <c r="H23" s="87" t="s">
        <v>6</v>
      </c>
      <c r="I23" s="62"/>
      <c r="J23" s="64" t="str">
        <f t="shared" ref="J23:J27" si="37">IF(OR(ISBLANK(G23),ISBLANK(I23)),"",IF(G23&gt;I23,1,IF(G23&lt;I23,2,"X")))</f>
        <v/>
      </c>
      <c r="K23" s="63">
        <f>IF(OR(G23="",I23="",'Resultat &amp; tabell'!G23="",'Resultat &amp; tabell'!I23=""),0,IF(G23='Resultat &amp; tabell'!G23,2,0)+IF(I23='Resultat &amp; tabell'!I23,2,0)+IF(J23='Resultat &amp; tabell'!J23,3,0))</f>
        <v>0</v>
      </c>
      <c r="L23" s="2">
        <v>2</v>
      </c>
      <c r="M23" s="17" t="str">
        <f>VLOOKUP(L23,AT22:AY25,2,FALSE)</f>
        <v>Saudiarabien</v>
      </c>
      <c r="N23" s="18">
        <f>VLOOKUP(M23,$AU$22:$AY$25,2,FALSE)</f>
        <v>0</v>
      </c>
      <c r="O23" s="18">
        <f>VLOOKUP(M23,$AU$22:$AY$25,3,FALSE)</f>
        <v>0</v>
      </c>
      <c r="P23" s="18">
        <f>VLOOKUP(M23,$AU$22:$AY$25,4,FALSE)</f>
        <v>0</v>
      </c>
      <c r="Q23" s="19">
        <f>VLOOKUP(M23,$AU$22:$AY$25,5,FALSE)</f>
        <v>0</v>
      </c>
      <c r="S23" s="5"/>
      <c r="T23" s="5"/>
      <c r="U23" s="5"/>
      <c r="V23" s="5"/>
      <c r="W23" s="5"/>
      <c r="Z23" s="88" t="str">
        <f t="shared" ref="Z23:Z27" si="38">D23</f>
        <v>Argentina</v>
      </c>
      <c r="AA23" s="89">
        <f t="shared" si="31"/>
        <v>0</v>
      </c>
      <c r="AB23" s="89">
        <f t="shared" si="32"/>
        <v>0</v>
      </c>
      <c r="AC23" s="89">
        <f t="shared" si="33"/>
        <v>0</v>
      </c>
      <c r="AD23" s="88" t="str">
        <f t="shared" ref="AD23:AD27" si="39">F23</f>
        <v>Saudiarabien</v>
      </c>
      <c r="AE23" s="89">
        <f t="shared" si="34"/>
        <v>0</v>
      </c>
      <c r="AF23" s="73">
        <f t="shared" si="35"/>
        <v>0</v>
      </c>
      <c r="AG23" s="73">
        <f t="shared" si="36"/>
        <v>0</v>
      </c>
      <c r="AI23" s="72">
        <f>RANK($AJ23,$AJ$22:$AJ$25,1)+COUNTIF($AJ$22:$AJ23,$AJ23)-1</f>
        <v>2</v>
      </c>
      <c r="AJ23" s="72">
        <f>AK23+AL23+AM23</f>
        <v>1</v>
      </c>
      <c r="AK23" s="72">
        <f t="shared" ref="AK23:AK25" si="40">SUMPRODUCT(($AO$22:$AO$25=AO23)*($AR$22:$AR$25=AR23)*($AP$22:$AP$25&gt;AP23))</f>
        <v>0</v>
      </c>
      <c r="AL23" s="72">
        <f t="shared" ref="AL23:AL25" si="41">SUMPRODUCT(($AO$22:$AO$25=AO23)*($AR$22:$AR$25&gt;AR23))</f>
        <v>0</v>
      </c>
      <c r="AM23" s="72">
        <f t="shared" ref="AM23:AM25" si="42">RANK(AO23,$AO$22:$AO$25)</f>
        <v>1</v>
      </c>
      <c r="AN23" s="73" t="s">
        <v>195</v>
      </c>
      <c r="AO23" s="72">
        <f t="shared" ref="AO23:AO25" si="43">SUMIF($Z$22:$Z$27,$AN23,$AA$22:$AA$27)+SUMIF($AD$22:$AD$27,$AN23,$AE$22:$AE$27)</f>
        <v>0</v>
      </c>
      <c r="AP23" s="72">
        <f t="shared" ref="AP23:AP25" si="44">SUMIF($Z$22:$Z$27,$AN23,$AB$22:$AB$27)+SUMIF($AD$22:$AD$27,$AN23,$AF$22:$AF$27)</f>
        <v>0</v>
      </c>
      <c r="AQ23" s="72">
        <f t="shared" ref="AQ23:AQ25" si="45">SUMIF($Z$22:$Z$27,$AN23,$AC$22:$AC$27)+SUMIF($AD$22:$AD$27,$AN23,$AG$22:$AG$27)</f>
        <v>0</v>
      </c>
      <c r="AR23" s="72">
        <f t="shared" ref="AR23:AR25" si="46">AP23-AQ23</f>
        <v>0</v>
      </c>
      <c r="AT23" s="72">
        <v>2</v>
      </c>
      <c r="AU23" s="72" t="str">
        <f t="shared" ref="AU23:AU25" si="47">VLOOKUP($AT23,$AI$22:$AR$25,6,FALSE)</f>
        <v>Saudiarabien</v>
      </c>
      <c r="AV23" s="72">
        <f t="shared" ref="AV23:AV25" si="48">VLOOKUP($AU23,$AN$22:$AR$25,2,FALSE)</f>
        <v>0</v>
      </c>
      <c r="AW23" s="72">
        <f t="shared" ref="AW23:AW25" si="49">VLOOKUP($AU23,$AN$22:$AR$25,3,FALSE)</f>
        <v>0</v>
      </c>
      <c r="AX23" s="72">
        <f t="shared" ref="AX23:AX25" si="50">VLOOKUP($AU23,$AN$22:$AR$25,4,FALSE)</f>
        <v>0</v>
      </c>
      <c r="AY23" s="72">
        <f t="shared" ref="AY23:AY25" si="51">VLOOKUP($AU23,$AN$22:$AR$25,5,FALSE)</f>
        <v>0</v>
      </c>
      <c r="AZ23" s="177"/>
      <c r="BA23" s="182"/>
      <c r="BB23" s="184"/>
      <c r="BC23" s="181"/>
      <c r="BD23" s="177"/>
      <c r="BE23" s="181"/>
      <c r="BF23" s="181"/>
      <c r="BG23" s="181"/>
      <c r="BH23" s="181"/>
      <c r="BI23" s="178"/>
      <c r="BK23" s="74"/>
      <c r="BL23" s="49"/>
      <c r="BM23" s="49"/>
      <c r="BN23" s="49"/>
      <c r="BO23" s="49"/>
    </row>
    <row r="24" spans="2:67" ht="14.25" customHeight="1" x14ac:dyDescent="0.25">
      <c r="B24" s="16">
        <v>22</v>
      </c>
      <c r="C24" s="95">
        <v>44891</v>
      </c>
      <c r="D24" s="84" t="s">
        <v>150</v>
      </c>
      <c r="E24" s="85" t="s">
        <v>6</v>
      </c>
      <c r="F24" s="86" t="s">
        <v>195</v>
      </c>
      <c r="G24" s="62"/>
      <c r="H24" s="87" t="s">
        <v>6</v>
      </c>
      <c r="I24" s="62"/>
      <c r="J24" s="64" t="str">
        <f t="shared" si="37"/>
        <v/>
      </c>
      <c r="K24" s="63">
        <f>IF(OR(G24="",I24="",'Resultat &amp; tabell'!G24="",'Resultat &amp; tabell'!I24=""),0,IF(G24='Resultat &amp; tabell'!G24,2,0)+IF(I24='Resultat &amp; tabell'!I24,2,0)+IF(J24='Resultat &amp; tabell'!J24,3,0))</f>
        <v>0</v>
      </c>
      <c r="L24" s="2">
        <v>3</v>
      </c>
      <c r="M24" s="20" t="str">
        <f>VLOOKUP(L24,AT22:AY25,2,FALSE)</f>
        <v>Mexiko</v>
      </c>
      <c r="N24" s="32">
        <f>VLOOKUP(M24,$AU$22:$AY$25,2,FALSE)</f>
        <v>0</v>
      </c>
      <c r="O24" s="32">
        <f>VLOOKUP(M24,$AU$22:$AY$25,3,FALSE)</f>
        <v>0</v>
      </c>
      <c r="P24" s="32">
        <f>VLOOKUP(M24,$AU$22:$AY$25,4,FALSE)</f>
        <v>0</v>
      </c>
      <c r="Q24" s="33">
        <f>VLOOKUP(M24,$AU$22:$AY$25,5,FALSE)</f>
        <v>0</v>
      </c>
      <c r="S24" s="5"/>
      <c r="T24" s="5"/>
      <c r="U24" s="5"/>
      <c r="V24" s="5"/>
      <c r="W24" s="5"/>
      <c r="Z24" s="88" t="str">
        <f t="shared" si="38"/>
        <v>Polen</v>
      </c>
      <c r="AA24" s="89">
        <f t="shared" si="31"/>
        <v>0</v>
      </c>
      <c r="AB24" s="89">
        <f t="shared" si="32"/>
        <v>0</v>
      </c>
      <c r="AC24" s="89">
        <f t="shared" si="33"/>
        <v>0</v>
      </c>
      <c r="AD24" s="88" t="str">
        <f t="shared" si="39"/>
        <v>Saudiarabien</v>
      </c>
      <c r="AE24" s="89">
        <f t="shared" si="34"/>
        <v>0</v>
      </c>
      <c r="AF24" s="73">
        <f t="shared" si="35"/>
        <v>0</v>
      </c>
      <c r="AG24" s="73">
        <f t="shared" si="36"/>
        <v>0</v>
      </c>
      <c r="AI24" s="72">
        <f>RANK($AJ24,$AJ$22:$AJ$25,1)+COUNTIF($AJ$22:$AJ24,$AJ24)-1</f>
        <v>3</v>
      </c>
      <c r="AJ24" s="72">
        <f>AK24+AL24+AM24</f>
        <v>1</v>
      </c>
      <c r="AK24" s="72">
        <f t="shared" si="40"/>
        <v>0</v>
      </c>
      <c r="AL24" s="72">
        <f t="shared" si="41"/>
        <v>0</v>
      </c>
      <c r="AM24" s="72">
        <f t="shared" si="42"/>
        <v>1</v>
      </c>
      <c r="AN24" s="88" t="s">
        <v>10</v>
      </c>
      <c r="AO24" s="72">
        <f t="shared" si="43"/>
        <v>0</v>
      </c>
      <c r="AP24" s="72">
        <f t="shared" si="44"/>
        <v>0</v>
      </c>
      <c r="AQ24" s="72">
        <f t="shared" si="45"/>
        <v>0</v>
      </c>
      <c r="AR24" s="72">
        <f t="shared" si="46"/>
        <v>0</v>
      </c>
      <c r="AT24" s="72">
        <v>3</v>
      </c>
      <c r="AU24" s="72" t="str">
        <f t="shared" si="47"/>
        <v>Mexiko</v>
      </c>
      <c r="AV24" s="72">
        <f t="shared" si="48"/>
        <v>0</v>
      </c>
      <c r="AW24" s="72">
        <f t="shared" si="49"/>
        <v>0</v>
      </c>
      <c r="AX24" s="72">
        <f t="shared" si="50"/>
        <v>0</v>
      </c>
      <c r="AY24" s="72">
        <f t="shared" si="51"/>
        <v>0</v>
      </c>
      <c r="AZ24" s="177"/>
      <c r="BA24" s="182"/>
      <c r="BB24" s="177"/>
      <c r="BC24" s="181"/>
      <c r="BD24" s="177"/>
      <c r="BE24" s="181"/>
      <c r="BF24" s="181"/>
      <c r="BG24" s="181"/>
      <c r="BH24" s="181"/>
      <c r="BI24" s="178"/>
      <c r="BK24" s="45"/>
      <c r="BL24" s="49"/>
      <c r="BM24" s="49"/>
      <c r="BN24" s="49"/>
      <c r="BO24" s="49"/>
    </row>
    <row r="25" spans="2:67" ht="14.25" customHeight="1" x14ac:dyDescent="0.25">
      <c r="B25" s="16">
        <v>24</v>
      </c>
      <c r="C25" s="95">
        <v>44891</v>
      </c>
      <c r="D25" s="84" t="s">
        <v>60</v>
      </c>
      <c r="E25" s="85" t="s">
        <v>6</v>
      </c>
      <c r="F25" s="86" t="s">
        <v>10</v>
      </c>
      <c r="G25" s="62"/>
      <c r="H25" s="87" t="s">
        <v>6</v>
      </c>
      <c r="I25" s="62"/>
      <c r="J25" s="64" t="str">
        <f t="shared" si="37"/>
        <v/>
      </c>
      <c r="K25" s="63">
        <f>IF(OR(G25="",I25="",'Resultat &amp; tabell'!G25="",'Resultat &amp; tabell'!I25=""),0,IF(G25='Resultat &amp; tabell'!G25,2,0)+IF(I25='Resultat &amp; tabell'!I25,2,0)+IF(J25='Resultat &amp; tabell'!J25,3,0))</f>
        <v>0</v>
      </c>
      <c r="L25" s="2">
        <v>4</v>
      </c>
      <c r="M25" s="21" t="str">
        <f>VLOOKUP(L25,AT22:AY25,2,FALSE)</f>
        <v>Polen</v>
      </c>
      <c r="N25" s="18">
        <f>VLOOKUP(M25,$AU$22:$AY$25,2,FALSE)</f>
        <v>0</v>
      </c>
      <c r="O25" s="18">
        <f>VLOOKUP(M25,$AU$22:$AY$25,3,FALSE)</f>
        <v>0</v>
      </c>
      <c r="P25" s="18">
        <f>VLOOKUP(M25,$AU$22:$AY$25,4,FALSE)</f>
        <v>0</v>
      </c>
      <c r="Q25" s="19">
        <f>VLOOKUP(M25,$AU$22:$AY$25,5,FALSE)</f>
        <v>0</v>
      </c>
      <c r="S25" s="5"/>
      <c r="T25" s="5"/>
      <c r="U25" s="5"/>
      <c r="V25" s="5"/>
      <c r="W25" s="5"/>
      <c r="Z25" s="88" t="str">
        <f t="shared" si="38"/>
        <v>Argentina</v>
      </c>
      <c r="AA25" s="89">
        <f t="shared" si="31"/>
        <v>0</v>
      </c>
      <c r="AB25" s="89">
        <f t="shared" si="32"/>
        <v>0</v>
      </c>
      <c r="AC25" s="89">
        <f t="shared" si="33"/>
        <v>0</v>
      </c>
      <c r="AD25" s="88" t="str">
        <f t="shared" si="39"/>
        <v>Mexiko</v>
      </c>
      <c r="AE25" s="89">
        <f t="shared" si="34"/>
        <v>0</v>
      </c>
      <c r="AF25" s="73">
        <f t="shared" si="35"/>
        <v>0</v>
      </c>
      <c r="AG25" s="73">
        <f t="shared" si="36"/>
        <v>0</v>
      </c>
      <c r="AI25" s="72">
        <f>RANK($AJ25,$AJ$22:$AJ$25,1)+COUNTIF($AJ$22:$AJ25,$AJ25)-1</f>
        <v>4</v>
      </c>
      <c r="AJ25" s="72">
        <f>AK25+AL25+AM25</f>
        <v>1</v>
      </c>
      <c r="AK25" s="72">
        <f t="shared" si="40"/>
        <v>0</v>
      </c>
      <c r="AL25" s="72">
        <f t="shared" si="41"/>
        <v>0</v>
      </c>
      <c r="AM25" s="72">
        <f t="shared" si="42"/>
        <v>1</v>
      </c>
      <c r="AN25" s="88" t="s">
        <v>150</v>
      </c>
      <c r="AO25" s="72">
        <f t="shared" si="43"/>
        <v>0</v>
      </c>
      <c r="AP25" s="72">
        <f t="shared" si="44"/>
        <v>0</v>
      </c>
      <c r="AQ25" s="72">
        <f t="shared" si="45"/>
        <v>0</v>
      </c>
      <c r="AR25" s="72">
        <f t="shared" si="46"/>
        <v>0</v>
      </c>
      <c r="AT25" s="72">
        <v>4</v>
      </c>
      <c r="AU25" s="72" t="str">
        <f t="shared" si="47"/>
        <v>Polen</v>
      </c>
      <c r="AV25" s="72">
        <f t="shared" si="48"/>
        <v>0</v>
      </c>
      <c r="AW25" s="72">
        <f t="shared" si="49"/>
        <v>0</v>
      </c>
      <c r="AX25" s="72">
        <f t="shared" si="50"/>
        <v>0</v>
      </c>
      <c r="AY25" s="72">
        <f t="shared" si="51"/>
        <v>0</v>
      </c>
      <c r="AZ25" s="177"/>
      <c r="BA25" s="182"/>
      <c r="BB25" s="177"/>
      <c r="BC25" s="181"/>
      <c r="BD25" s="177"/>
      <c r="BE25" s="181"/>
      <c r="BF25" s="181"/>
      <c r="BG25" s="181"/>
      <c r="BH25" s="181"/>
      <c r="BI25" s="178"/>
      <c r="BK25" s="45"/>
      <c r="BL25" s="49"/>
      <c r="BM25" s="49"/>
      <c r="BN25" s="49"/>
      <c r="BO25" s="49"/>
    </row>
    <row r="26" spans="2:67" ht="14.25" customHeight="1" x14ac:dyDescent="0.25">
      <c r="B26" s="16">
        <v>37</v>
      </c>
      <c r="C26" s="95">
        <v>44895</v>
      </c>
      <c r="D26" s="84" t="s">
        <v>150</v>
      </c>
      <c r="E26" s="85" t="s">
        <v>6</v>
      </c>
      <c r="F26" s="86" t="s">
        <v>60</v>
      </c>
      <c r="G26" s="62"/>
      <c r="H26" s="87" t="s">
        <v>6</v>
      </c>
      <c r="I26" s="62"/>
      <c r="J26" s="64" t="str">
        <f t="shared" si="37"/>
        <v/>
      </c>
      <c r="K26" s="63">
        <f>IF(OR(G26="",I26="",'Resultat &amp; tabell'!G26="",'Resultat &amp; tabell'!I26=""),0,IF(G26='Resultat &amp; tabell'!G26,2,0)+IF(I26='Resultat &amp; tabell'!I26,2,0)+IF(J26='Resultat &amp; tabell'!J26,3,0))</f>
        <v>0</v>
      </c>
      <c r="M26" s="187">
        <f>COUNTBLANK(G22:G27)+COUNTBLANK(I22:I27)</f>
        <v>12</v>
      </c>
      <c r="N26" s="23"/>
      <c r="O26" s="23"/>
      <c r="P26" s="23"/>
      <c r="Q26" s="23"/>
      <c r="S26" s="5"/>
      <c r="T26" s="5"/>
      <c r="U26" s="5"/>
      <c r="V26" s="5"/>
      <c r="W26" s="5"/>
      <c r="Z26" s="88" t="str">
        <f t="shared" si="38"/>
        <v>Polen</v>
      </c>
      <c r="AA26" s="89">
        <f t="shared" si="31"/>
        <v>0</v>
      </c>
      <c r="AB26" s="89">
        <f t="shared" si="32"/>
        <v>0</v>
      </c>
      <c r="AC26" s="89">
        <f t="shared" si="33"/>
        <v>0</v>
      </c>
      <c r="AD26" s="88" t="str">
        <f t="shared" si="39"/>
        <v>Argentina</v>
      </c>
      <c r="AE26" s="89">
        <f t="shared" si="34"/>
        <v>0</v>
      </c>
      <c r="AF26" s="73">
        <f t="shared" si="35"/>
        <v>0</v>
      </c>
      <c r="AG26" s="73">
        <f t="shared" si="36"/>
        <v>0</v>
      </c>
      <c r="AZ26" s="177"/>
      <c r="BA26" s="182"/>
      <c r="BB26" s="177"/>
      <c r="BC26" s="181"/>
      <c r="BD26" s="177"/>
      <c r="BE26" s="181"/>
      <c r="BF26" s="181"/>
      <c r="BG26" s="181"/>
      <c r="BH26" s="181"/>
      <c r="BI26" s="178"/>
      <c r="BL26" s="49"/>
      <c r="BM26" s="49"/>
      <c r="BN26" s="49"/>
      <c r="BO26" s="49"/>
    </row>
    <row r="27" spans="2:67" ht="14.25" customHeight="1" x14ac:dyDescent="0.25">
      <c r="B27" s="16">
        <v>38</v>
      </c>
      <c r="C27" s="95">
        <v>44895</v>
      </c>
      <c r="D27" s="84" t="s">
        <v>195</v>
      </c>
      <c r="E27" s="85" t="s">
        <v>6</v>
      </c>
      <c r="F27" s="86" t="s">
        <v>10</v>
      </c>
      <c r="G27" s="62"/>
      <c r="H27" s="87" t="s">
        <v>6</v>
      </c>
      <c r="I27" s="62"/>
      <c r="J27" s="64" t="str">
        <f t="shared" si="37"/>
        <v/>
      </c>
      <c r="K27" s="63">
        <f>IF(OR(G27="",I27="",'Resultat &amp; tabell'!G27="",'Resultat &amp; tabell'!I27=""),0,IF(G27='Resultat &amp; tabell'!G27,2,0)+IF(I27='Resultat &amp; tabell'!I27,2,0)+IF(J27='Resultat &amp; tabell'!J27,3,0))</f>
        <v>0</v>
      </c>
      <c r="N27" s="23"/>
      <c r="O27" s="23"/>
      <c r="P27" s="23"/>
      <c r="Q27" s="23"/>
      <c r="S27" s="5"/>
      <c r="T27" s="5"/>
      <c r="U27" s="5"/>
      <c r="V27" s="5"/>
      <c r="W27" s="5"/>
      <c r="Z27" s="88" t="str">
        <f t="shared" si="38"/>
        <v>Saudiarabien</v>
      </c>
      <c r="AA27" s="89">
        <f t="shared" si="31"/>
        <v>0</v>
      </c>
      <c r="AB27" s="89">
        <f t="shared" si="32"/>
        <v>0</v>
      </c>
      <c r="AC27" s="89">
        <f t="shared" si="33"/>
        <v>0</v>
      </c>
      <c r="AD27" s="88" t="str">
        <f t="shared" si="39"/>
        <v>Mexiko</v>
      </c>
      <c r="AE27" s="89">
        <f t="shared" si="34"/>
        <v>0</v>
      </c>
      <c r="AF27" s="73">
        <f t="shared" si="35"/>
        <v>0</v>
      </c>
      <c r="AG27" s="73">
        <f t="shared" si="36"/>
        <v>0</v>
      </c>
      <c r="AZ27" s="177"/>
      <c r="BA27" s="182"/>
      <c r="BB27" s="177"/>
      <c r="BC27" s="181"/>
      <c r="BD27" s="177"/>
      <c r="BE27" s="181"/>
      <c r="BF27" s="181"/>
      <c r="BG27" s="181"/>
      <c r="BH27" s="181"/>
      <c r="BI27" s="178"/>
      <c r="BL27" s="49"/>
      <c r="BM27" s="49"/>
      <c r="BN27" s="49"/>
      <c r="BO27" s="49"/>
    </row>
    <row r="28" spans="2:67" ht="14.25" customHeight="1" x14ac:dyDescent="0.25">
      <c r="C28" s="38"/>
      <c r="J28" s="24"/>
      <c r="K28" s="24"/>
      <c r="N28" s="23"/>
      <c r="O28" s="23"/>
      <c r="P28" s="23"/>
      <c r="Q28" s="23"/>
      <c r="S28" s="5"/>
      <c r="T28" s="5"/>
      <c r="U28" s="5"/>
      <c r="V28" s="5"/>
      <c r="W28" s="5"/>
      <c r="AZ28" s="177"/>
      <c r="BA28" s="182"/>
      <c r="BB28" s="177"/>
      <c r="BC28" s="181"/>
      <c r="BD28" s="177"/>
      <c r="BE28" s="181"/>
      <c r="BF28" s="181"/>
      <c r="BG28" s="181"/>
      <c r="BH28" s="181"/>
      <c r="BI28" s="178"/>
      <c r="BL28" s="49"/>
      <c r="BM28" s="49"/>
      <c r="BN28" s="49"/>
      <c r="BO28" s="49"/>
    </row>
    <row r="29" spans="2:67" s="26" customFormat="1" ht="14.25" customHeight="1" x14ac:dyDescent="0.25">
      <c r="B29" s="6" t="s">
        <v>48</v>
      </c>
      <c r="C29" s="104"/>
      <c r="D29" s="68"/>
      <c r="E29" s="27"/>
      <c r="F29" s="68"/>
      <c r="G29" s="27"/>
      <c r="H29" s="27"/>
      <c r="I29" s="27"/>
      <c r="J29" s="24"/>
      <c r="K29" s="24"/>
      <c r="L29" s="25"/>
      <c r="N29" s="27"/>
      <c r="O29" s="27"/>
      <c r="P29" s="27"/>
      <c r="Q29" s="27"/>
      <c r="Z29" s="70"/>
      <c r="AA29" s="89"/>
      <c r="AB29" s="89"/>
      <c r="AC29" s="89"/>
      <c r="AD29" s="70"/>
      <c r="AE29" s="107"/>
      <c r="AF29" s="108"/>
      <c r="AG29" s="108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75"/>
      <c r="BA29" s="183"/>
      <c r="BB29" s="175"/>
      <c r="BC29" s="179"/>
      <c r="BD29" s="175"/>
      <c r="BE29" s="179"/>
      <c r="BF29" s="179"/>
      <c r="BG29" s="179"/>
      <c r="BH29" s="179"/>
      <c r="BI29" s="179"/>
      <c r="BJ29" s="110"/>
      <c r="BK29" s="1"/>
      <c r="BL29" s="24"/>
      <c r="BM29" s="24"/>
      <c r="BN29" s="24"/>
      <c r="BO29" s="24"/>
    </row>
    <row r="30" spans="2:67" s="26" customFormat="1" ht="14.25" customHeight="1" x14ac:dyDescent="0.25">
      <c r="B30" s="119" t="s">
        <v>2</v>
      </c>
      <c r="C30" s="112" t="s">
        <v>3</v>
      </c>
      <c r="D30" s="207" t="s">
        <v>2</v>
      </c>
      <c r="E30" s="208"/>
      <c r="F30" s="209"/>
      <c r="G30" s="208" t="s">
        <v>4</v>
      </c>
      <c r="H30" s="208"/>
      <c r="I30" s="208"/>
      <c r="J30" s="28" t="s">
        <v>69</v>
      </c>
      <c r="K30" s="7" t="s">
        <v>75</v>
      </c>
      <c r="L30" s="25"/>
      <c r="M30" s="8" t="s">
        <v>48</v>
      </c>
      <c r="N30" s="170" t="s">
        <v>75</v>
      </c>
      <c r="O30" s="170" t="s">
        <v>76</v>
      </c>
      <c r="P30" s="170" t="s">
        <v>77</v>
      </c>
      <c r="Q30" s="10" t="s">
        <v>87</v>
      </c>
      <c r="Z30" s="81" t="s">
        <v>73</v>
      </c>
      <c r="AA30" s="81" t="s">
        <v>75</v>
      </c>
      <c r="AB30" s="81" t="s">
        <v>76</v>
      </c>
      <c r="AC30" s="81" t="s">
        <v>77</v>
      </c>
      <c r="AD30" s="81" t="s">
        <v>74</v>
      </c>
      <c r="AE30" s="81" t="s">
        <v>75</v>
      </c>
      <c r="AF30" s="81" t="s">
        <v>76</v>
      </c>
      <c r="AG30" s="81" t="s">
        <v>77</v>
      </c>
      <c r="AH30" s="107"/>
      <c r="AI30" s="82" t="s">
        <v>85</v>
      </c>
      <c r="AJ30" s="82" t="s">
        <v>84</v>
      </c>
      <c r="AK30" s="82" t="s">
        <v>83</v>
      </c>
      <c r="AL30" s="81" t="s">
        <v>82</v>
      </c>
      <c r="AM30" s="81" t="s">
        <v>81</v>
      </c>
      <c r="AN30" s="81" t="s">
        <v>78</v>
      </c>
      <c r="AO30" s="81" t="s">
        <v>75</v>
      </c>
      <c r="AP30" s="81" t="s">
        <v>76</v>
      </c>
      <c r="AQ30" s="81" t="s">
        <v>77</v>
      </c>
      <c r="AR30" s="82" t="s">
        <v>79</v>
      </c>
      <c r="AS30" s="107"/>
      <c r="AT30" s="81" t="s">
        <v>80</v>
      </c>
      <c r="AU30" s="81" t="s">
        <v>78</v>
      </c>
      <c r="AV30" s="81" t="s">
        <v>75</v>
      </c>
      <c r="AW30" s="81" t="s">
        <v>76</v>
      </c>
      <c r="AX30" s="81" t="s">
        <v>77</v>
      </c>
      <c r="AY30" s="82" t="s">
        <v>79</v>
      </c>
      <c r="AZ30" s="175"/>
      <c r="BA30" s="175"/>
      <c r="BB30" s="206"/>
      <c r="BC30" s="206"/>
      <c r="BD30" s="206"/>
      <c r="BE30" s="206"/>
      <c r="BF30" s="206"/>
      <c r="BG30" s="206"/>
      <c r="BH30" s="179"/>
      <c r="BI30" s="179"/>
      <c r="BJ30" s="110"/>
      <c r="BK30" s="114"/>
      <c r="BL30" s="24"/>
      <c r="BM30" s="24"/>
      <c r="BN30" s="24"/>
      <c r="BO30" s="24"/>
    </row>
    <row r="31" spans="2:67" ht="14.25" customHeight="1" x14ac:dyDescent="0.25">
      <c r="B31" s="16">
        <v>5</v>
      </c>
      <c r="C31" s="95">
        <v>44887</v>
      </c>
      <c r="D31" s="84" t="s">
        <v>58</v>
      </c>
      <c r="E31" s="85" t="s">
        <v>6</v>
      </c>
      <c r="F31" s="86" t="s">
        <v>29</v>
      </c>
      <c r="G31" s="62"/>
      <c r="H31" s="87" t="s">
        <v>6</v>
      </c>
      <c r="I31" s="62"/>
      <c r="J31" s="64" t="str">
        <f>IF(OR(ISBLANK(G31),ISBLANK(I31)),"",IF(G31&gt;I31,1,IF(G31&lt;I31,2,"X")))</f>
        <v/>
      </c>
      <c r="K31" s="63">
        <f>IF(OR(G31="",I31="",'Resultat &amp; tabell'!G31="",'Resultat &amp; tabell'!I31=""),0,IF(G31='Resultat &amp; tabell'!G31,2,0)+IF(I31='Resultat &amp; tabell'!I31,2,0)+IF(J31='Resultat &amp; tabell'!J31,3,0))</f>
        <v>0</v>
      </c>
      <c r="L31" s="12">
        <v>1</v>
      </c>
      <c r="M31" s="13" t="str">
        <f>VLOOKUP(L31,AT31:AY34,2,FALSE)</f>
        <v>Frankrike</v>
      </c>
      <c r="N31" s="14">
        <f>VLOOKUP(M31,$AU$31:$AY$34,2,FALSE)</f>
        <v>0</v>
      </c>
      <c r="O31" s="14">
        <f>VLOOKUP(M31,$AU$31:$AY$34,3,FALSE)</f>
        <v>0</v>
      </c>
      <c r="P31" s="14">
        <f>VLOOKUP(M31,$AU$31:$AY$34,4,FALSE)</f>
        <v>0</v>
      </c>
      <c r="Q31" s="15">
        <f>VLOOKUP(M31,$AU$31:$AY$34,5,FALSE)</f>
        <v>0</v>
      </c>
      <c r="S31" s="5"/>
      <c r="T31" s="5"/>
      <c r="U31" s="5"/>
      <c r="V31" s="5"/>
      <c r="W31" s="5"/>
      <c r="Z31" s="88" t="str">
        <f>D31</f>
        <v>Frankrike</v>
      </c>
      <c r="AA31" s="89">
        <f t="shared" ref="AA31:AA37" si="52">IF(G31="",0,IF($G31&lt;$I31,0,IF($G31=$I31,1,3)))</f>
        <v>0</v>
      </c>
      <c r="AB31" s="89">
        <f t="shared" ref="AB31:AB36" si="53">G31</f>
        <v>0</v>
      </c>
      <c r="AC31" s="89">
        <f t="shared" ref="AC31:AC37" si="54">I31</f>
        <v>0</v>
      </c>
      <c r="AD31" s="88" t="str">
        <f>F31</f>
        <v>Australien</v>
      </c>
      <c r="AE31" s="89">
        <f t="shared" ref="AE31:AE37" si="55">IF(I31="",0,IF(I31&lt;G31,0,IF(G31=I31,1,3)))</f>
        <v>0</v>
      </c>
      <c r="AF31" s="73">
        <f t="shared" ref="AF31:AF37" si="56">I31</f>
        <v>0</v>
      </c>
      <c r="AG31" s="73">
        <f t="shared" ref="AG31:AG36" si="57">G31</f>
        <v>0</v>
      </c>
      <c r="AI31" s="72">
        <f>RANK($AJ31,$AJ$31:$AJ$34,1)+COUNTIF($AJ$31:$AJ31,$AJ31)-1</f>
        <v>1</v>
      </c>
      <c r="AJ31" s="72">
        <f>AK31+AL31+AM31</f>
        <v>1</v>
      </c>
      <c r="AK31" s="72">
        <f>SUMPRODUCT(($AO$31:$AO$34=AO31)*($AR$31:$AR$34=AR31)*($AP$31:$AP$34&gt;AP31))</f>
        <v>0</v>
      </c>
      <c r="AL31" s="72">
        <f>SUMPRODUCT(($AO$31:$AO$34=AO31)*($AR$31:$AR$34&gt;AR31))</f>
        <v>0</v>
      </c>
      <c r="AM31" s="72">
        <f>RANK(AO31,$AO$31:$AO$34)</f>
        <v>1</v>
      </c>
      <c r="AN31" s="88" t="s">
        <v>58</v>
      </c>
      <c r="AO31" s="72">
        <f>SUMIF($Z$31:$Z$36,$AN31,$AA$31:$AA$36)+SUMIF($AD$31:$AD$36,$AN31,$AE$31:$AE$36)</f>
        <v>0</v>
      </c>
      <c r="AP31" s="72">
        <f>SUMIF($Z$31:$Z$36,$AN31,$AB$31:$AB$36)+SUMIF($AD$31:$AD$36,$AN31,$AF$31:$AF$36)</f>
        <v>0</v>
      </c>
      <c r="AQ31" s="72">
        <f>SUMIF($Z$31:$Z$36,$AN31,$AC$31:$AC$36)+SUMIF($AD$31:$AD$36,$AN31,$AG$31:$AG$36)</f>
        <v>0</v>
      </c>
      <c r="AR31" s="72">
        <f>AP31-AQ31</f>
        <v>0</v>
      </c>
      <c r="AT31" s="72">
        <v>1</v>
      </c>
      <c r="AU31" s="72" t="str">
        <f>VLOOKUP($AT31,$AI$31:$AR$34,6,FALSE)</f>
        <v>Frankrike</v>
      </c>
      <c r="AV31" s="72">
        <f>VLOOKUP($AU31,$AN$31:$AR$34,2,FALSE)</f>
        <v>0</v>
      </c>
      <c r="AW31" s="72">
        <f>VLOOKUP($AU31,$AN$31:$AR$34,3,FALSE)</f>
        <v>0</v>
      </c>
      <c r="AX31" s="72">
        <f>VLOOKUP($AU31,$AN$31:$AR$34,4,FALSE)</f>
        <v>0</v>
      </c>
      <c r="AY31" s="72">
        <f>VLOOKUP($AU31,$AN$31:$AR$34,5,FALSE)</f>
        <v>0</v>
      </c>
      <c r="AZ31" s="177"/>
      <c r="BA31" s="182"/>
      <c r="BB31" s="177"/>
      <c r="BC31" s="181"/>
      <c r="BD31" s="177"/>
      <c r="BE31" s="181"/>
      <c r="BF31" s="181"/>
      <c r="BG31" s="181"/>
      <c r="BH31" s="181"/>
      <c r="BI31" s="178"/>
      <c r="BJ31" s="94"/>
      <c r="BK31" s="74"/>
      <c r="BL31" s="49"/>
      <c r="BM31" s="49"/>
      <c r="BN31" s="49"/>
      <c r="BO31" s="49"/>
    </row>
    <row r="32" spans="2:67" ht="14.25" customHeight="1" x14ac:dyDescent="0.25">
      <c r="B32" s="16">
        <v>6</v>
      </c>
      <c r="C32" s="95">
        <v>44887</v>
      </c>
      <c r="D32" s="84" t="s">
        <v>147</v>
      </c>
      <c r="E32" s="85" t="s">
        <v>6</v>
      </c>
      <c r="F32" s="86" t="s">
        <v>149</v>
      </c>
      <c r="G32" s="62"/>
      <c r="H32" s="87" t="s">
        <v>6</v>
      </c>
      <c r="I32" s="62"/>
      <c r="J32" s="64" t="str">
        <f t="shared" ref="J32:J37" si="58">IF(OR(ISBLANK(G32),ISBLANK(I32)),"",IF(G32&gt;I32,1,IF(G32&lt;I32,2,"X")))</f>
        <v/>
      </c>
      <c r="K32" s="63">
        <f>IF(OR(G32="",I32="",'Resultat &amp; tabell'!G32="",'Resultat &amp; tabell'!I32=""),0,IF(G32='Resultat &amp; tabell'!G32,2,0)+IF(I32='Resultat &amp; tabell'!I32,2,0)+IF(J32='Resultat &amp; tabell'!J32,3,0))</f>
        <v>0</v>
      </c>
      <c r="L32" s="2">
        <v>2</v>
      </c>
      <c r="M32" s="17" t="str">
        <f>VLOOKUP(L32,AT31:AY34,2,FALSE)</f>
        <v>Danmark</v>
      </c>
      <c r="N32" s="18">
        <f>VLOOKUP(M32,$AU$31:$AY$34,2,FALSE)</f>
        <v>0</v>
      </c>
      <c r="O32" s="18">
        <f>VLOOKUP(M32,$AU$31:$AY$34,3,FALSE)</f>
        <v>0</v>
      </c>
      <c r="P32" s="18">
        <f>VLOOKUP(M32,$AU$31:$AY$34,4,FALSE)</f>
        <v>0</v>
      </c>
      <c r="Q32" s="19">
        <f>VLOOKUP(M32,$AU$31:$AY$34,5,FALSE)</f>
        <v>0</v>
      </c>
      <c r="S32" s="5"/>
      <c r="T32" s="5"/>
      <c r="U32" s="5"/>
      <c r="V32" s="5"/>
      <c r="W32" s="5"/>
      <c r="Z32" s="88" t="str">
        <f t="shared" ref="Z32:Z36" si="59">D32</f>
        <v>Danmark</v>
      </c>
      <c r="AA32" s="89">
        <f t="shared" si="52"/>
        <v>0</v>
      </c>
      <c r="AB32" s="89">
        <f t="shared" si="53"/>
        <v>0</v>
      </c>
      <c r="AC32" s="89">
        <f t="shared" si="54"/>
        <v>0</v>
      </c>
      <c r="AD32" s="88" t="str">
        <f t="shared" ref="AD32:AD36" si="60">F32</f>
        <v>Tunisien</v>
      </c>
      <c r="AE32" s="89">
        <f t="shared" si="55"/>
        <v>0</v>
      </c>
      <c r="AF32" s="73">
        <f t="shared" si="56"/>
        <v>0</v>
      </c>
      <c r="AG32" s="73">
        <f t="shared" si="57"/>
        <v>0</v>
      </c>
      <c r="AI32" s="72">
        <f>RANK($AJ32,$AJ$31:$AJ$34,1)+COUNTIF($AJ$31:$AJ32,$AJ32)-1</f>
        <v>2</v>
      </c>
      <c r="AJ32" s="72">
        <f>AK32+AL32+AM32</f>
        <v>1</v>
      </c>
      <c r="AK32" s="72">
        <f t="shared" ref="AK32:AK34" si="61">SUMPRODUCT(($AO$31:$AO$34=AO32)*($AR$31:$AR$34=AR32)*($AP$31:$AP$34&gt;AP32))</f>
        <v>0</v>
      </c>
      <c r="AL32" s="72">
        <f t="shared" ref="AL32:AL34" si="62">SUMPRODUCT(($AO$31:$AO$34=AO32)*($AR$31:$AR$34&gt;AR32))</f>
        <v>0</v>
      </c>
      <c r="AM32" s="72">
        <f t="shared" ref="AM32:AM34" si="63">RANK(AO32,$AO$31:$AO$34)</f>
        <v>1</v>
      </c>
      <c r="AN32" s="88" t="s">
        <v>147</v>
      </c>
      <c r="AO32" s="72">
        <f t="shared" ref="AO32:AO34" si="64">SUMIF($Z$31:$Z$36,$AN32,$AA$31:$AA$36)+SUMIF($AD$31:$AD$36,$AN32,$AE$31:$AE$36)</f>
        <v>0</v>
      </c>
      <c r="AP32" s="72">
        <f t="shared" ref="AP32:AP34" si="65">SUMIF($Z$31:$Z$36,$AN32,$AB$31:$AB$36)+SUMIF($AD$31:$AD$36,$AN32,$AF$31:$AF$36)</f>
        <v>0</v>
      </c>
      <c r="AQ32" s="72">
        <f t="shared" ref="AQ32:AQ34" si="66">SUMIF($Z$31:$Z$36,$AN32,$AC$31:$AC$36)+SUMIF($AD$31:$AD$36,$AN32,$AG$31:$AG$36)</f>
        <v>0</v>
      </c>
      <c r="AR32" s="72">
        <f t="shared" ref="AR32:AR34" si="67">AP32-AQ32</f>
        <v>0</v>
      </c>
      <c r="AT32" s="72">
        <v>2</v>
      </c>
      <c r="AU32" s="72" t="str">
        <f t="shared" ref="AU32:AU34" si="68">VLOOKUP($AT32,$AI$31:$AR$34,6,FALSE)</f>
        <v>Danmark</v>
      </c>
      <c r="AV32" s="72">
        <f t="shared" ref="AV32:AV34" si="69">VLOOKUP($AU32,$AN$31:$AR$34,2,FALSE)</f>
        <v>0</v>
      </c>
      <c r="AW32" s="72">
        <f t="shared" ref="AW32:AW34" si="70">VLOOKUP($AU32,$AN$31:$AR$34,3,FALSE)</f>
        <v>0</v>
      </c>
      <c r="AX32" s="72">
        <f t="shared" ref="AX32:AX34" si="71">VLOOKUP($AU32,$AN$31:$AR$34,4,FALSE)</f>
        <v>0</v>
      </c>
      <c r="AY32" s="72">
        <f t="shared" ref="AY32:AY34" si="72">VLOOKUP($AU32,$AN$31:$AR$34,5,FALSE)</f>
        <v>0</v>
      </c>
      <c r="AZ32" s="177"/>
      <c r="BA32" s="182"/>
      <c r="BB32" s="177"/>
      <c r="BC32" s="181"/>
      <c r="BD32" s="177"/>
      <c r="BE32" s="181"/>
      <c r="BF32" s="181"/>
      <c r="BG32" s="181"/>
      <c r="BH32" s="181"/>
      <c r="BI32" s="178"/>
      <c r="BK32" s="74"/>
      <c r="BL32" s="49"/>
      <c r="BM32" s="49"/>
      <c r="BN32" s="49"/>
      <c r="BO32" s="49"/>
    </row>
    <row r="33" spans="2:67" ht="14.25" customHeight="1" x14ac:dyDescent="0.25">
      <c r="B33" s="16">
        <v>21</v>
      </c>
      <c r="C33" s="95">
        <v>44891</v>
      </c>
      <c r="D33" s="84" t="s">
        <v>149</v>
      </c>
      <c r="E33" s="85" t="s">
        <v>6</v>
      </c>
      <c r="F33" s="86" t="s">
        <v>29</v>
      </c>
      <c r="G33" s="62"/>
      <c r="H33" s="87" t="s">
        <v>6</v>
      </c>
      <c r="I33" s="62"/>
      <c r="J33" s="64" t="str">
        <f t="shared" si="58"/>
        <v/>
      </c>
      <c r="K33" s="63">
        <f>IF(OR(G33="",I33="",'Resultat &amp; tabell'!G33="",'Resultat &amp; tabell'!I33=""),0,IF(G33='Resultat &amp; tabell'!G33,2,0)+IF(I33='Resultat &amp; tabell'!I33,2,0)+IF(J33='Resultat &amp; tabell'!J33,3,0))</f>
        <v>0</v>
      </c>
      <c r="L33" s="2">
        <v>3</v>
      </c>
      <c r="M33" s="20" t="str">
        <f>VLOOKUP(L33,AT31:AY34,2,FALSE)</f>
        <v>Tunisien</v>
      </c>
      <c r="N33" s="32">
        <f>VLOOKUP(M33,$AU$31:$AY$34,2,FALSE)</f>
        <v>0</v>
      </c>
      <c r="O33" s="32">
        <f>VLOOKUP(M33,$AU$31:$AY$34,3,FALSE)</f>
        <v>0</v>
      </c>
      <c r="P33" s="32">
        <f>VLOOKUP(M33,$AU$31:$AY$34,4,FALSE)</f>
        <v>0</v>
      </c>
      <c r="Q33" s="33">
        <f>VLOOKUP(M33,$AU$31:$AY$34,5,FALSE)</f>
        <v>0</v>
      </c>
      <c r="S33" s="5"/>
      <c r="T33" s="5"/>
      <c r="U33" s="5"/>
      <c r="V33" s="5"/>
      <c r="W33" s="5"/>
      <c r="Z33" s="88" t="str">
        <f t="shared" si="59"/>
        <v>Tunisien</v>
      </c>
      <c r="AA33" s="89">
        <f t="shared" si="52"/>
        <v>0</v>
      </c>
      <c r="AB33" s="89">
        <f t="shared" si="53"/>
        <v>0</v>
      </c>
      <c r="AC33" s="89">
        <f t="shared" si="54"/>
        <v>0</v>
      </c>
      <c r="AD33" s="88" t="str">
        <f t="shared" si="60"/>
        <v>Australien</v>
      </c>
      <c r="AE33" s="89">
        <f t="shared" si="55"/>
        <v>0</v>
      </c>
      <c r="AF33" s="73">
        <f t="shared" si="56"/>
        <v>0</v>
      </c>
      <c r="AG33" s="73">
        <f t="shared" si="57"/>
        <v>0</v>
      </c>
      <c r="AI33" s="72">
        <f>RANK($AJ33,$AJ$31:$AJ$34,1)+COUNTIF($AJ$31:$AJ33,$AJ33)-1</f>
        <v>3</v>
      </c>
      <c r="AJ33" s="72">
        <f>AK33+AL33+AM33</f>
        <v>1</v>
      </c>
      <c r="AK33" s="72">
        <f t="shared" si="61"/>
        <v>0</v>
      </c>
      <c r="AL33" s="72">
        <f t="shared" si="62"/>
        <v>0</v>
      </c>
      <c r="AM33" s="72">
        <f t="shared" si="63"/>
        <v>1</v>
      </c>
      <c r="AN33" s="88" t="s">
        <v>149</v>
      </c>
      <c r="AO33" s="72">
        <f t="shared" si="64"/>
        <v>0</v>
      </c>
      <c r="AP33" s="72">
        <f t="shared" si="65"/>
        <v>0</v>
      </c>
      <c r="AQ33" s="72">
        <f t="shared" si="66"/>
        <v>0</v>
      </c>
      <c r="AR33" s="72">
        <f t="shared" si="67"/>
        <v>0</v>
      </c>
      <c r="AT33" s="72">
        <v>3</v>
      </c>
      <c r="AU33" s="72" t="str">
        <f t="shared" si="68"/>
        <v>Tunisien</v>
      </c>
      <c r="AV33" s="72">
        <f t="shared" si="69"/>
        <v>0</v>
      </c>
      <c r="AW33" s="72">
        <f t="shared" si="70"/>
        <v>0</v>
      </c>
      <c r="AX33" s="72">
        <f t="shared" si="71"/>
        <v>0</v>
      </c>
      <c r="AY33" s="72">
        <f t="shared" si="72"/>
        <v>0</v>
      </c>
      <c r="AZ33" s="177"/>
      <c r="BA33" s="182"/>
      <c r="BB33" s="177"/>
      <c r="BC33" s="181"/>
      <c r="BD33" s="177"/>
      <c r="BE33" s="181"/>
      <c r="BF33" s="181"/>
      <c r="BG33" s="181"/>
      <c r="BH33" s="181"/>
      <c r="BI33" s="178"/>
      <c r="BK33" s="45"/>
      <c r="BL33" s="49"/>
      <c r="BM33" s="49"/>
      <c r="BN33" s="49"/>
      <c r="BO33" s="49"/>
    </row>
    <row r="34" spans="2:67" ht="14.25" customHeight="1" x14ac:dyDescent="0.25">
      <c r="B34" s="16">
        <v>23</v>
      </c>
      <c r="C34" s="95">
        <v>44891</v>
      </c>
      <c r="D34" s="84" t="s">
        <v>58</v>
      </c>
      <c r="E34" s="85" t="s">
        <v>6</v>
      </c>
      <c r="F34" s="86" t="s">
        <v>147</v>
      </c>
      <c r="G34" s="62"/>
      <c r="H34" s="87" t="s">
        <v>6</v>
      </c>
      <c r="I34" s="62"/>
      <c r="J34" s="64" t="str">
        <f t="shared" si="58"/>
        <v/>
      </c>
      <c r="K34" s="63">
        <f>IF(OR(G34="",I34="",'Resultat &amp; tabell'!G34="",'Resultat &amp; tabell'!I34=""),0,IF(G34='Resultat &amp; tabell'!G34,2,0)+IF(I34='Resultat &amp; tabell'!I34,2,0)+IF(J34='Resultat &amp; tabell'!J34,3,0))</f>
        <v>0</v>
      </c>
      <c r="L34" s="2">
        <v>4</v>
      </c>
      <c r="M34" s="21" t="str">
        <f>VLOOKUP(L34,AT31:AY34,2,FALSE)</f>
        <v>Australien</v>
      </c>
      <c r="N34" s="18">
        <f>VLOOKUP(M34,$AU$31:$AY$34,2,FALSE)</f>
        <v>0</v>
      </c>
      <c r="O34" s="18">
        <f>VLOOKUP(M34,$AU$31:$AY$34,3,FALSE)</f>
        <v>0</v>
      </c>
      <c r="P34" s="18">
        <f>VLOOKUP(M34,$AU$31:$AY$34,4,FALSE)</f>
        <v>0</v>
      </c>
      <c r="Q34" s="19">
        <f>VLOOKUP(M34,$AU$31:$AY$34,5,FALSE)</f>
        <v>0</v>
      </c>
      <c r="S34" s="5"/>
      <c r="T34" s="5"/>
      <c r="U34" s="5"/>
      <c r="V34" s="5"/>
      <c r="W34" s="5"/>
      <c r="Z34" s="88" t="str">
        <f t="shared" si="59"/>
        <v>Frankrike</v>
      </c>
      <c r="AA34" s="89">
        <f t="shared" si="52"/>
        <v>0</v>
      </c>
      <c r="AB34" s="89">
        <f t="shared" si="53"/>
        <v>0</v>
      </c>
      <c r="AC34" s="89">
        <f t="shared" si="54"/>
        <v>0</v>
      </c>
      <c r="AD34" s="88" t="str">
        <f t="shared" si="60"/>
        <v>Danmark</v>
      </c>
      <c r="AE34" s="89">
        <f t="shared" si="55"/>
        <v>0</v>
      </c>
      <c r="AF34" s="73">
        <f t="shared" si="56"/>
        <v>0</v>
      </c>
      <c r="AG34" s="73">
        <f t="shared" si="57"/>
        <v>0</v>
      </c>
      <c r="AI34" s="72">
        <f>RANK($AJ34,$AJ$31:$AJ$34,1)+COUNTIF($AJ$31:$AJ34,$AJ34)-1</f>
        <v>4</v>
      </c>
      <c r="AJ34" s="72">
        <f>AK34+AL34+AM34</f>
        <v>1</v>
      </c>
      <c r="AK34" s="72">
        <f t="shared" si="61"/>
        <v>0</v>
      </c>
      <c r="AL34" s="72">
        <f t="shared" si="62"/>
        <v>0</v>
      </c>
      <c r="AM34" s="72">
        <f t="shared" si="63"/>
        <v>1</v>
      </c>
      <c r="AN34" s="88" t="s">
        <v>29</v>
      </c>
      <c r="AO34" s="72">
        <f t="shared" si="64"/>
        <v>0</v>
      </c>
      <c r="AP34" s="72">
        <f t="shared" si="65"/>
        <v>0</v>
      </c>
      <c r="AQ34" s="72">
        <f t="shared" si="66"/>
        <v>0</v>
      </c>
      <c r="AR34" s="72">
        <f t="shared" si="67"/>
        <v>0</v>
      </c>
      <c r="AT34" s="72">
        <v>4</v>
      </c>
      <c r="AU34" s="72" t="str">
        <f t="shared" si="68"/>
        <v>Australien</v>
      </c>
      <c r="AV34" s="72">
        <f t="shared" si="69"/>
        <v>0</v>
      </c>
      <c r="AW34" s="72">
        <f t="shared" si="70"/>
        <v>0</v>
      </c>
      <c r="AX34" s="72">
        <f t="shared" si="71"/>
        <v>0</v>
      </c>
      <c r="AY34" s="72">
        <f t="shared" si="72"/>
        <v>0</v>
      </c>
      <c r="AZ34" s="177"/>
      <c r="BA34" s="182"/>
      <c r="BB34" s="177"/>
      <c r="BC34" s="181"/>
      <c r="BD34" s="177"/>
      <c r="BE34" s="181"/>
      <c r="BF34" s="181"/>
      <c r="BG34" s="181"/>
      <c r="BH34" s="181"/>
      <c r="BI34" s="178"/>
      <c r="BK34" s="45"/>
      <c r="BL34" s="49"/>
      <c r="BM34" s="49"/>
      <c r="BN34" s="49"/>
      <c r="BO34" s="49"/>
    </row>
    <row r="35" spans="2:67" ht="14.25" customHeight="1" x14ac:dyDescent="0.25">
      <c r="B35" s="16">
        <v>39</v>
      </c>
      <c r="C35" s="95">
        <v>44895</v>
      </c>
      <c r="D35" s="84" t="s">
        <v>29</v>
      </c>
      <c r="E35" s="85" t="s">
        <v>6</v>
      </c>
      <c r="F35" s="86" t="s">
        <v>147</v>
      </c>
      <c r="G35" s="62"/>
      <c r="H35" s="87" t="s">
        <v>6</v>
      </c>
      <c r="I35" s="62"/>
      <c r="J35" s="64" t="str">
        <f t="shared" si="58"/>
        <v/>
      </c>
      <c r="K35" s="63">
        <f>IF(OR(G35="",I35="",'Resultat &amp; tabell'!G35="",'Resultat &amp; tabell'!I35=""),0,IF(G35='Resultat &amp; tabell'!G35,2,0)+IF(I35='Resultat &amp; tabell'!I35,2,0)+IF(J35='Resultat &amp; tabell'!J35,3,0))</f>
        <v>0</v>
      </c>
      <c r="M35" s="187">
        <f>COUNTBLANK(G31:G36)+COUNTBLANK(I31:I36)</f>
        <v>12</v>
      </c>
      <c r="N35" s="23"/>
      <c r="O35" s="35"/>
      <c r="P35" s="23"/>
      <c r="Q35" s="23"/>
      <c r="S35" s="5"/>
      <c r="T35" s="5"/>
      <c r="U35" s="5"/>
      <c r="V35" s="5"/>
      <c r="W35" s="5"/>
      <c r="Z35" s="88" t="str">
        <f t="shared" si="59"/>
        <v>Australien</v>
      </c>
      <c r="AA35" s="89">
        <f t="shared" si="52"/>
        <v>0</v>
      </c>
      <c r="AB35" s="89">
        <f t="shared" si="53"/>
        <v>0</v>
      </c>
      <c r="AC35" s="89">
        <f t="shared" si="54"/>
        <v>0</v>
      </c>
      <c r="AD35" s="88" t="str">
        <f t="shared" si="60"/>
        <v>Danmark</v>
      </c>
      <c r="AE35" s="89">
        <f t="shared" si="55"/>
        <v>0</v>
      </c>
      <c r="AF35" s="73">
        <f t="shared" si="56"/>
        <v>0</v>
      </c>
      <c r="AG35" s="73">
        <f t="shared" si="57"/>
        <v>0</v>
      </c>
      <c r="AZ35" s="177"/>
      <c r="BA35" s="182"/>
      <c r="BB35" s="177"/>
      <c r="BC35" s="181"/>
      <c r="BD35" s="177"/>
      <c r="BE35" s="181"/>
      <c r="BF35" s="181"/>
      <c r="BG35" s="181"/>
      <c r="BH35" s="181"/>
      <c r="BI35" s="178"/>
      <c r="BL35" s="49"/>
      <c r="BM35" s="46"/>
      <c r="BN35" s="49"/>
      <c r="BO35" s="49"/>
    </row>
    <row r="36" spans="2:67" ht="14.25" customHeight="1" x14ac:dyDescent="0.25">
      <c r="B36" s="16">
        <v>40</v>
      </c>
      <c r="C36" s="95">
        <v>44895</v>
      </c>
      <c r="D36" s="84" t="s">
        <v>149</v>
      </c>
      <c r="E36" s="85" t="s">
        <v>6</v>
      </c>
      <c r="F36" s="86" t="s">
        <v>58</v>
      </c>
      <c r="G36" s="62"/>
      <c r="H36" s="87" t="s">
        <v>6</v>
      </c>
      <c r="I36" s="62"/>
      <c r="J36" s="64" t="str">
        <f t="shared" si="58"/>
        <v/>
      </c>
      <c r="K36" s="63">
        <f>IF(OR(G36="",I36="",'Resultat &amp; tabell'!G36="",'Resultat &amp; tabell'!I36=""),0,IF(G36='Resultat &amp; tabell'!G36,2,0)+IF(I36='Resultat &amp; tabell'!I36,2,0)+IF(J36='Resultat &amp; tabell'!J36,3,0))</f>
        <v>0</v>
      </c>
      <c r="N36" s="117"/>
      <c r="O36" s="117"/>
      <c r="P36" s="23"/>
      <c r="Q36" s="23"/>
      <c r="S36" s="5"/>
      <c r="T36" s="5"/>
      <c r="U36" s="5"/>
      <c r="V36" s="5"/>
      <c r="W36" s="5"/>
      <c r="Z36" s="88" t="str">
        <f t="shared" si="59"/>
        <v>Tunisien</v>
      </c>
      <c r="AA36" s="89">
        <f t="shared" si="52"/>
        <v>0</v>
      </c>
      <c r="AB36" s="89">
        <f t="shared" si="53"/>
        <v>0</v>
      </c>
      <c r="AC36" s="89">
        <f t="shared" si="54"/>
        <v>0</v>
      </c>
      <c r="AD36" s="88" t="str">
        <f t="shared" si="60"/>
        <v>Frankrike</v>
      </c>
      <c r="AE36" s="89">
        <f t="shared" si="55"/>
        <v>0</v>
      </c>
      <c r="AF36" s="73">
        <f t="shared" si="56"/>
        <v>0</v>
      </c>
      <c r="AG36" s="73">
        <f t="shared" si="57"/>
        <v>0</v>
      </c>
      <c r="AZ36" s="177"/>
      <c r="BA36" s="182"/>
      <c r="BB36" s="177"/>
      <c r="BC36" s="181"/>
      <c r="BD36" s="177"/>
      <c r="BE36" s="181"/>
      <c r="BF36" s="181"/>
      <c r="BG36" s="181"/>
      <c r="BH36" s="181"/>
      <c r="BI36" s="178"/>
      <c r="BL36" s="49"/>
      <c r="BM36" s="46"/>
      <c r="BN36" s="49"/>
      <c r="BO36" s="49"/>
    </row>
    <row r="37" spans="2:67" ht="14.25" customHeight="1" x14ac:dyDescent="0.25">
      <c r="C37" s="38"/>
      <c r="F37" s="23"/>
      <c r="J37" s="24" t="str">
        <f t="shared" si="58"/>
        <v/>
      </c>
      <c r="K37" s="24"/>
      <c r="N37" s="23"/>
      <c r="O37" s="35"/>
      <c r="P37" s="23"/>
      <c r="Q37" s="23"/>
      <c r="S37" s="5"/>
      <c r="T37" s="5"/>
      <c r="U37" s="5"/>
      <c r="V37" s="5"/>
      <c r="W37" s="5"/>
      <c r="AA37" s="89">
        <f t="shared" si="52"/>
        <v>0</v>
      </c>
      <c r="AC37" s="89">
        <f t="shared" si="54"/>
        <v>0</v>
      </c>
      <c r="AE37" s="72">
        <f t="shared" si="55"/>
        <v>0</v>
      </c>
      <c r="AF37" s="73">
        <f t="shared" si="56"/>
        <v>0</v>
      </c>
      <c r="AZ37" s="177"/>
      <c r="BA37" s="182"/>
      <c r="BB37" s="177"/>
      <c r="BC37" s="181"/>
      <c r="BD37" s="177"/>
      <c r="BE37" s="181"/>
      <c r="BF37" s="181"/>
      <c r="BG37" s="181"/>
      <c r="BH37" s="181"/>
      <c r="BI37" s="178"/>
      <c r="BL37" s="49"/>
      <c r="BM37" s="46"/>
      <c r="BN37" s="49"/>
      <c r="BO37" s="49"/>
    </row>
    <row r="38" spans="2:67" s="26" customFormat="1" ht="14.25" customHeight="1" x14ac:dyDescent="0.25">
      <c r="B38" s="6" t="s">
        <v>55</v>
      </c>
      <c r="C38" s="104"/>
      <c r="D38" s="117"/>
      <c r="E38" s="27"/>
      <c r="F38" s="117"/>
      <c r="G38" s="27"/>
      <c r="H38" s="27"/>
      <c r="I38" s="27"/>
      <c r="J38" s="24"/>
      <c r="K38" s="24"/>
      <c r="L38" s="25"/>
      <c r="N38" s="27"/>
      <c r="O38" s="36"/>
      <c r="P38" s="27"/>
      <c r="Q38" s="27"/>
      <c r="S38" s="27"/>
      <c r="T38" s="27"/>
      <c r="U38" s="27"/>
      <c r="V38" s="27"/>
      <c r="W38" s="122"/>
      <c r="Z38" s="70"/>
      <c r="AA38" s="89"/>
      <c r="AB38" s="89"/>
      <c r="AC38" s="89"/>
      <c r="AD38" s="70"/>
      <c r="AE38" s="107"/>
      <c r="AF38" s="108"/>
      <c r="AG38" s="108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75"/>
      <c r="BA38" s="183"/>
      <c r="BB38" s="175"/>
      <c r="BC38" s="179"/>
      <c r="BD38" s="175"/>
      <c r="BE38" s="179"/>
      <c r="BF38" s="179"/>
      <c r="BG38" s="179"/>
      <c r="BH38" s="179"/>
      <c r="BI38" s="179"/>
      <c r="BJ38" s="110"/>
      <c r="BK38" s="1"/>
      <c r="BL38" s="24"/>
      <c r="BM38" s="123"/>
      <c r="BN38" s="24"/>
      <c r="BO38" s="24"/>
    </row>
    <row r="39" spans="2:67" s="26" customFormat="1" ht="14.25" customHeight="1" x14ac:dyDescent="0.25">
      <c r="B39" s="119" t="s">
        <v>2</v>
      </c>
      <c r="C39" s="112" t="s">
        <v>3</v>
      </c>
      <c r="D39" s="207" t="s">
        <v>2</v>
      </c>
      <c r="E39" s="208"/>
      <c r="F39" s="209"/>
      <c r="G39" s="208" t="s">
        <v>4</v>
      </c>
      <c r="H39" s="208"/>
      <c r="I39" s="208"/>
      <c r="J39" s="28" t="s">
        <v>69</v>
      </c>
      <c r="K39" s="7" t="s">
        <v>75</v>
      </c>
      <c r="L39" s="25"/>
      <c r="M39" s="8" t="s">
        <v>55</v>
      </c>
      <c r="N39" s="170" t="s">
        <v>75</v>
      </c>
      <c r="O39" s="170" t="s">
        <v>76</v>
      </c>
      <c r="P39" s="170" t="s">
        <v>77</v>
      </c>
      <c r="Q39" s="10" t="s">
        <v>87</v>
      </c>
      <c r="S39" s="27"/>
      <c r="T39" s="27"/>
      <c r="U39" s="27"/>
      <c r="V39" s="27"/>
      <c r="W39" s="122"/>
      <c r="Z39" s="81" t="s">
        <v>73</v>
      </c>
      <c r="AA39" s="81" t="s">
        <v>75</v>
      </c>
      <c r="AB39" s="81" t="s">
        <v>76</v>
      </c>
      <c r="AC39" s="81" t="s">
        <v>77</v>
      </c>
      <c r="AD39" s="81" t="s">
        <v>74</v>
      </c>
      <c r="AE39" s="81" t="s">
        <v>75</v>
      </c>
      <c r="AF39" s="81" t="s">
        <v>76</v>
      </c>
      <c r="AG39" s="81" t="s">
        <v>77</v>
      </c>
      <c r="AH39" s="107"/>
      <c r="AI39" s="82" t="s">
        <v>85</v>
      </c>
      <c r="AJ39" s="82" t="s">
        <v>84</v>
      </c>
      <c r="AK39" s="82" t="s">
        <v>83</v>
      </c>
      <c r="AL39" s="81" t="s">
        <v>82</v>
      </c>
      <c r="AM39" s="81" t="s">
        <v>81</v>
      </c>
      <c r="AN39" s="81" t="s">
        <v>78</v>
      </c>
      <c r="AO39" s="81" t="s">
        <v>75</v>
      </c>
      <c r="AP39" s="81" t="s">
        <v>76</v>
      </c>
      <c r="AQ39" s="81" t="s">
        <v>77</v>
      </c>
      <c r="AR39" s="82" t="s">
        <v>79</v>
      </c>
      <c r="AS39" s="107"/>
      <c r="AT39" s="81" t="s">
        <v>80</v>
      </c>
      <c r="AU39" s="81" t="s">
        <v>78</v>
      </c>
      <c r="AV39" s="81" t="s">
        <v>75</v>
      </c>
      <c r="AW39" s="81" t="s">
        <v>76</v>
      </c>
      <c r="AX39" s="81" t="s">
        <v>77</v>
      </c>
      <c r="AY39" s="82" t="s">
        <v>79</v>
      </c>
      <c r="AZ39" s="175"/>
      <c r="BA39" s="175"/>
      <c r="BB39" s="179"/>
      <c r="BC39" s="179"/>
      <c r="BD39" s="179"/>
      <c r="BE39" s="206"/>
      <c r="BF39" s="206"/>
      <c r="BG39" s="206"/>
      <c r="BH39" s="179"/>
      <c r="BI39" s="179"/>
      <c r="BJ39" s="110"/>
      <c r="BK39" s="114"/>
      <c r="BL39" s="24"/>
      <c r="BM39" s="24"/>
      <c r="BN39" s="24"/>
      <c r="BO39" s="24"/>
    </row>
    <row r="40" spans="2:67" ht="14.25" customHeight="1" x14ac:dyDescent="0.25">
      <c r="B40" s="16">
        <v>10</v>
      </c>
      <c r="C40" s="95">
        <v>44888</v>
      </c>
      <c r="D40" s="84" t="s">
        <v>27</v>
      </c>
      <c r="E40" s="85" t="s">
        <v>6</v>
      </c>
      <c r="F40" s="86" t="s">
        <v>51</v>
      </c>
      <c r="G40" s="62"/>
      <c r="H40" s="87" t="s">
        <v>6</v>
      </c>
      <c r="I40" s="62"/>
      <c r="J40" s="64" t="str">
        <f>IF(OR(ISBLANK(G40),ISBLANK(I40)),"",IF(G40&gt;I40,1,IF(G40&lt;I40,2,"X")))</f>
        <v/>
      </c>
      <c r="K40" s="63">
        <f>IF(OR(G40="",I40="",'Resultat &amp; tabell'!G40="",'Resultat &amp; tabell'!I40=""),0,IF(G40='Resultat &amp; tabell'!G40,2,0)+IF(I40='Resultat &amp; tabell'!I40,2,0)+IF(J40='Resultat &amp; tabell'!J40,3,0))</f>
        <v>0</v>
      </c>
      <c r="L40" s="12">
        <v>1</v>
      </c>
      <c r="M40" s="13" t="str">
        <f>VLOOKUP(L40,AT40:AY43,2,FALSE)</f>
        <v>Spanien</v>
      </c>
      <c r="N40" s="14">
        <f>VLOOKUP(M40,$AU$40:$AY$43,2,FALSE)</f>
        <v>0</v>
      </c>
      <c r="O40" s="14">
        <f>VLOOKUP(M40,$AU$40:$AY$43,3,FALSE)</f>
        <v>0</v>
      </c>
      <c r="P40" s="14">
        <f>VLOOKUP(M40,$AU$40:$AY$43,4,FALSE)</f>
        <v>0</v>
      </c>
      <c r="Q40" s="15">
        <f>VLOOKUP(M40,$AU$40:$AY$43,5,FALSE)</f>
        <v>0</v>
      </c>
      <c r="Z40" s="88" t="str">
        <f>D40</f>
        <v>Spanien</v>
      </c>
      <c r="AA40" s="89">
        <f t="shared" ref="AA40:AA45" si="73">IF(G40="",0,IF($G40&lt;$I40,0,IF($G40=$I40,1,3)))</f>
        <v>0</v>
      </c>
      <c r="AB40" s="89">
        <f t="shared" ref="AB40:AB45" si="74">G40</f>
        <v>0</v>
      </c>
      <c r="AC40" s="89">
        <f t="shared" ref="AC40:AC45" si="75">I40</f>
        <v>0</v>
      </c>
      <c r="AD40" s="88" t="str">
        <f>F40</f>
        <v>Costa Rica</v>
      </c>
      <c r="AE40" s="89">
        <f t="shared" ref="AE40:AE45" si="76">IF(I40="",0,IF(I40&lt;G40,0,IF(G40=I40,1,3)))</f>
        <v>0</v>
      </c>
      <c r="AF40" s="73">
        <f t="shared" ref="AF40:AF45" si="77">I40</f>
        <v>0</v>
      </c>
      <c r="AG40" s="73">
        <f t="shared" ref="AG40:AG45" si="78">G40</f>
        <v>0</v>
      </c>
      <c r="AI40" s="72">
        <f>RANK($AJ40,$AJ$40:$AJ$43,1)+COUNTIF($AJ$40:$AJ40,$AJ40)-1</f>
        <v>1</v>
      </c>
      <c r="AJ40" s="72">
        <f>AK40+AL40+AM40</f>
        <v>1</v>
      </c>
      <c r="AK40" s="72">
        <f>SUMPRODUCT(($AO$40:$AO$43=AO40)*($AR$40:$AR$43=AR40)*($AP$40:$AP$43&gt;AP40))</f>
        <v>0</v>
      </c>
      <c r="AL40" s="72">
        <f>SUMPRODUCT(($AO$40:$AO$43=AO40)*($AR$40:$AR$43&gt;AR40))</f>
        <v>0</v>
      </c>
      <c r="AM40" s="72">
        <f>RANK(AO40,$AO$40:$AO$43)</f>
        <v>1</v>
      </c>
      <c r="AN40" s="88" t="s">
        <v>27</v>
      </c>
      <c r="AO40" s="72">
        <f>SUMIF($Z$40:$Z$45,$AN40,$AA$40:$AA$45)+SUMIF($AD$40:$AD$45,$AN40,$AE$40:$AE$45)</f>
        <v>0</v>
      </c>
      <c r="AP40" s="72">
        <f>SUMIF($Z$40:$Z$45,$AN40,$AB$40:$AB$45)+SUMIF($AD$40:$AD$45,$AN40,$AF$40:$AF$45)</f>
        <v>0</v>
      </c>
      <c r="AQ40" s="72">
        <f>SUMIF($Z$40:$Z$45,$AN40,$AC$40:$AC$45)+SUMIF($AD$40:$AD$45,$AN40,$AG$40:$AG$45)</f>
        <v>0</v>
      </c>
      <c r="AR40" s="72">
        <f>AP40-AQ40</f>
        <v>0</v>
      </c>
      <c r="AT40" s="72">
        <v>1</v>
      </c>
      <c r="AU40" s="72" t="str">
        <f>VLOOKUP($AT40,$AI$40:$AR$43,6,FALSE)</f>
        <v>Spanien</v>
      </c>
      <c r="AV40" s="72">
        <f>VLOOKUP($AU40,$AN$40:$AR$43,2,FALSE)</f>
        <v>0</v>
      </c>
      <c r="AW40" s="72">
        <f>VLOOKUP($AU40,$AN$40:$AR$43,3,FALSE)</f>
        <v>0</v>
      </c>
      <c r="AX40" s="72">
        <f>VLOOKUP($AU40,$AN$40:$AR$43,4,FALSE)</f>
        <v>0</v>
      </c>
      <c r="AY40" s="72">
        <f>VLOOKUP($AU40,$AN$40:$AR$43,5,FALSE)</f>
        <v>0</v>
      </c>
      <c r="AZ40" s="177"/>
      <c r="BA40" s="182"/>
      <c r="BB40" s="177"/>
      <c r="BC40" s="181"/>
      <c r="BD40" s="177"/>
      <c r="BE40" s="181"/>
      <c r="BF40" s="181"/>
      <c r="BG40" s="181"/>
      <c r="BH40" s="181"/>
      <c r="BI40" s="178"/>
      <c r="BJ40" s="94"/>
      <c r="BK40" s="74"/>
      <c r="BL40" s="49"/>
      <c r="BM40" s="49"/>
      <c r="BN40" s="49"/>
      <c r="BO40" s="49"/>
    </row>
    <row r="41" spans="2:67" ht="14.25" customHeight="1" x14ac:dyDescent="0.25">
      <c r="B41" s="16">
        <v>11</v>
      </c>
      <c r="C41" s="95">
        <v>44888</v>
      </c>
      <c r="D41" s="84" t="s">
        <v>63</v>
      </c>
      <c r="E41" s="85" t="s">
        <v>6</v>
      </c>
      <c r="F41" s="86" t="s">
        <v>42</v>
      </c>
      <c r="G41" s="62"/>
      <c r="H41" s="87" t="s">
        <v>6</v>
      </c>
      <c r="I41" s="62"/>
      <c r="J41" s="64" t="str">
        <f t="shared" ref="J41:J45" si="79">IF(OR(ISBLANK(G41),ISBLANK(I41)),"",IF(G41&gt;I41,1,IF(G41&lt;I41,2,"X")))</f>
        <v/>
      </c>
      <c r="K41" s="63">
        <f>IF(OR(G41="",I41="",'Resultat &amp; tabell'!G41="",'Resultat &amp; tabell'!I41=""),0,IF(G41='Resultat &amp; tabell'!G41,2,0)+IF(I41='Resultat &amp; tabell'!I41,2,0)+IF(J41='Resultat &amp; tabell'!J41,3,0))</f>
        <v>0</v>
      </c>
      <c r="L41" s="2">
        <v>2</v>
      </c>
      <c r="M41" s="17" t="str">
        <f>VLOOKUP(L41,AT40:AY43,2,FALSE)</f>
        <v>Tyskland</v>
      </c>
      <c r="N41" s="18">
        <f>VLOOKUP(M41,$AU$40:$AY$43,2,FALSE)</f>
        <v>0</v>
      </c>
      <c r="O41" s="18">
        <f>VLOOKUP(M41,$AU$40:$AY$43,3,FALSE)</f>
        <v>0</v>
      </c>
      <c r="P41" s="18">
        <f>VLOOKUP(M41,$AU$40:$AY$43,4,FALSE)</f>
        <v>0</v>
      </c>
      <c r="Q41" s="19">
        <f>VLOOKUP(M41,$AU$40:$AY$43,5,FALSE)</f>
        <v>0</v>
      </c>
      <c r="Z41" s="88" t="str">
        <f t="shared" ref="Z41:Z45" si="80">D41</f>
        <v>Tyskland</v>
      </c>
      <c r="AA41" s="89">
        <f t="shared" si="73"/>
        <v>0</v>
      </c>
      <c r="AB41" s="89">
        <f t="shared" si="74"/>
        <v>0</v>
      </c>
      <c r="AC41" s="89">
        <f t="shared" si="75"/>
        <v>0</v>
      </c>
      <c r="AD41" s="88" t="str">
        <f t="shared" ref="AD41:AD45" si="81">F41</f>
        <v>Japan</v>
      </c>
      <c r="AE41" s="89">
        <f t="shared" si="76"/>
        <v>0</v>
      </c>
      <c r="AF41" s="73">
        <f t="shared" si="77"/>
        <v>0</v>
      </c>
      <c r="AG41" s="73">
        <f t="shared" si="78"/>
        <v>0</v>
      </c>
      <c r="AI41" s="72">
        <f>RANK($AJ41,$AJ$40:$AJ$43,1)+COUNTIF($AJ$40:$AJ41,$AJ41)-1</f>
        <v>2</v>
      </c>
      <c r="AJ41" s="72">
        <f>AK41+AL41+AM41</f>
        <v>1</v>
      </c>
      <c r="AK41" s="72">
        <f t="shared" ref="AK41:AK43" si="82">SUMPRODUCT(($AO$40:$AO$43=AO41)*($AR$40:$AR$43=AR41)*($AP$40:$AP$43&gt;AP41))</f>
        <v>0</v>
      </c>
      <c r="AL41" s="72">
        <f t="shared" ref="AL41:AL43" si="83">SUMPRODUCT(($AO$40:$AO$43=AO41)*($AR$40:$AR$43&gt;AR41))</f>
        <v>0</v>
      </c>
      <c r="AM41" s="72">
        <f t="shared" ref="AM41:AM43" si="84">RANK(AO41,$AO$40:$AO$43)</f>
        <v>1</v>
      </c>
      <c r="AN41" s="88" t="s">
        <v>63</v>
      </c>
      <c r="AO41" s="72">
        <f t="shared" ref="AO41:AO43" si="85">SUMIF($Z$40:$Z$45,$AN41,$AA$40:$AA$45)+SUMIF($AD$40:$AD$45,$AN41,$AE$40:$AE$45)</f>
        <v>0</v>
      </c>
      <c r="AP41" s="72">
        <f t="shared" ref="AP41:AP43" si="86">SUMIF($Z$40:$Z$45,$AN41,$AB$40:$AB$45)+SUMIF($AD$40:$AD$45,$AN41,$AF$40:$AF$45)</f>
        <v>0</v>
      </c>
      <c r="AQ41" s="72">
        <f t="shared" ref="AQ41:AQ43" si="87">SUMIF($Z$40:$Z$45,$AN41,$AC$40:$AC$45)+SUMIF($AD$40:$AD$45,$AN41,$AG$40:$AG$45)</f>
        <v>0</v>
      </c>
      <c r="AR41" s="72">
        <f t="shared" ref="AR41:AR43" si="88">AP41-AQ41</f>
        <v>0</v>
      </c>
      <c r="AT41" s="72">
        <v>2</v>
      </c>
      <c r="AU41" s="72" t="str">
        <f t="shared" ref="AU41:AU43" si="89">VLOOKUP($AT41,$AI$40:$AR$43,6,FALSE)</f>
        <v>Tyskland</v>
      </c>
      <c r="AV41" s="72">
        <f t="shared" ref="AV41:AV43" si="90">VLOOKUP($AU41,$AN$40:$AR$43,2,FALSE)</f>
        <v>0</v>
      </c>
      <c r="AW41" s="72">
        <f t="shared" ref="AW41:AW43" si="91">VLOOKUP($AU41,$AN$40:$AR$43,3,FALSE)</f>
        <v>0</v>
      </c>
      <c r="AX41" s="72">
        <f t="shared" ref="AX41:AX43" si="92">VLOOKUP($AU41,$AN$40:$AR$43,4,FALSE)</f>
        <v>0</v>
      </c>
      <c r="AY41" s="72">
        <f t="shared" ref="AY41:AY43" si="93">VLOOKUP($AU41,$AN$40:$AR$43,5,FALSE)</f>
        <v>0</v>
      </c>
      <c r="AZ41" s="177"/>
      <c r="BA41" s="182"/>
      <c r="BB41" s="177"/>
      <c r="BC41" s="181"/>
      <c r="BD41" s="177"/>
      <c r="BE41" s="181"/>
      <c r="BF41" s="181"/>
      <c r="BG41" s="181"/>
      <c r="BH41" s="181"/>
      <c r="BI41" s="178"/>
      <c r="BK41" s="74"/>
      <c r="BL41" s="49"/>
      <c r="BM41" s="49"/>
      <c r="BN41" s="49"/>
      <c r="BO41" s="49"/>
    </row>
    <row r="42" spans="2:67" ht="14.25" customHeight="1" x14ac:dyDescent="0.25">
      <c r="B42" s="16">
        <v>25</v>
      </c>
      <c r="C42" s="95">
        <v>44892</v>
      </c>
      <c r="D42" s="84" t="s">
        <v>42</v>
      </c>
      <c r="E42" s="85" t="s">
        <v>6</v>
      </c>
      <c r="F42" s="86" t="s">
        <v>51</v>
      </c>
      <c r="G42" s="62"/>
      <c r="H42" s="87" t="s">
        <v>6</v>
      </c>
      <c r="I42" s="62"/>
      <c r="J42" s="64" t="str">
        <f t="shared" si="79"/>
        <v/>
      </c>
      <c r="K42" s="63">
        <f>IF(OR(G42="",I42="",'Resultat &amp; tabell'!G42="",'Resultat &amp; tabell'!I42=""),0,IF(G42='Resultat &amp; tabell'!G42,2,0)+IF(I42='Resultat &amp; tabell'!I42,2,0)+IF(J42='Resultat &amp; tabell'!J42,3,0))</f>
        <v>0</v>
      </c>
      <c r="L42" s="2">
        <v>3</v>
      </c>
      <c r="M42" s="20" t="str">
        <f>VLOOKUP(L42,AT40:AY43,2,FALSE)</f>
        <v>Japan</v>
      </c>
      <c r="N42" s="32">
        <f>VLOOKUP(M42,$AU$40:$AY$43,2,FALSE)</f>
        <v>0</v>
      </c>
      <c r="O42" s="32">
        <f>VLOOKUP(M42,$AU$40:$AY$43,3,FALSE)</f>
        <v>0</v>
      </c>
      <c r="P42" s="32">
        <f>VLOOKUP(M42,$AU$40:$AY$43,4,FALSE)</f>
        <v>0</v>
      </c>
      <c r="Q42" s="33">
        <f>VLOOKUP(M42,$AU$40:$AY$43,5,FALSE)</f>
        <v>0</v>
      </c>
      <c r="Z42" s="88" t="str">
        <f t="shared" si="80"/>
        <v>Japan</v>
      </c>
      <c r="AA42" s="89">
        <f t="shared" si="73"/>
        <v>0</v>
      </c>
      <c r="AB42" s="89">
        <f t="shared" si="74"/>
        <v>0</v>
      </c>
      <c r="AC42" s="89">
        <f t="shared" si="75"/>
        <v>0</v>
      </c>
      <c r="AD42" s="88" t="str">
        <f t="shared" si="81"/>
        <v>Costa Rica</v>
      </c>
      <c r="AE42" s="89">
        <f t="shared" si="76"/>
        <v>0</v>
      </c>
      <c r="AF42" s="73">
        <f t="shared" si="77"/>
        <v>0</v>
      </c>
      <c r="AG42" s="73">
        <f t="shared" si="78"/>
        <v>0</v>
      </c>
      <c r="AI42" s="72">
        <f>RANK($AJ42,$AJ$40:$AJ$43,1)+COUNTIF($AJ$40:$AJ42,$AJ42)-1</f>
        <v>3</v>
      </c>
      <c r="AJ42" s="72">
        <f>AK42+AL42+AM42</f>
        <v>1</v>
      </c>
      <c r="AK42" s="72">
        <f t="shared" si="82"/>
        <v>0</v>
      </c>
      <c r="AL42" s="72">
        <f t="shared" si="83"/>
        <v>0</v>
      </c>
      <c r="AM42" s="72">
        <f t="shared" si="84"/>
        <v>1</v>
      </c>
      <c r="AN42" s="88" t="s">
        <v>42</v>
      </c>
      <c r="AO42" s="72">
        <f t="shared" si="85"/>
        <v>0</v>
      </c>
      <c r="AP42" s="72">
        <f t="shared" si="86"/>
        <v>0</v>
      </c>
      <c r="AQ42" s="72">
        <f t="shared" si="87"/>
        <v>0</v>
      </c>
      <c r="AR42" s="72">
        <f t="shared" si="88"/>
        <v>0</v>
      </c>
      <c r="AT42" s="72">
        <v>3</v>
      </c>
      <c r="AU42" s="72" t="str">
        <f t="shared" si="89"/>
        <v>Japan</v>
      </c>
      <c r="AV42" s="72">
        <f t="shared" si="90"/>
        <v>0</v>
      </c>
      <c r="AW42" s="72">
        <f t="shared" si="91"/>
        <v>0</v>
      </c>
      <c r="AX42" s="72">
        <f t="shared" si="92"/>
        <v>0</v>
      </c>
      <c r="AY42" s="72">
        <f t="shared" si="93"/>
        <v>0</v>
      </c>
      <c r="AZ42" s="177"/>
      <c r="BA42" s="182"/>
      <c r="BB42" s="177"/>
      <c r="BC42" s="181"/>
      <c r="BD42" s="177"/>
      <c r="BE42" s="181"/>
      <c r="BF42" s="181"/>
      <c r="BG42" s="181"/>
      <c r="BH42" s="181"/>
      <c r="BI42" s="178"/>
      <c r="BK42" s="45"/>
      <c r="BL42" s="49"/>
      <c r="BM42" s="49"/>
      <c r="BN42" s="49"/>
      <c r="BO42" s="49"/>
    </row>
    <row r="43" spans="2:67" ht="14.25" customHeight="1" x14ac:dyDescent="0.25">
      <c r="B43" s="16">
        <v>28</v>
      </c>
      <c r="C43" s="95">
        <v>44892</v>
      </c>
      <c r="D43" s="84" t="s">
        <v>27</v>
      </c>
      <c r="E43" s="85" t="s">
        <v>6</v>
      </c>
      <c r="F43" s="86" t="s">
        <v>63</v>
      </c>
      <c r="G43" s="62"/>
      <c r="H43" s="87" t="s">
        <v>6</v>
      </c>
      <c r="I43" s="62"/>
      <c r="J43" s="64" t="str">
        <f t="shared" si="79"/>
        <v/>
      </c>
      <c r="K43" s="63">
        <f>IF(OR(G43="",I43="",'Resultat &amp; tabell'!G43="",'Resultat &amp; tabell'!I43=""),0,IF(G43='Resultat &amp; tabell'!G43,2,0)+IF(I43='Resultat &amp; tabell'!I43,2,0)+IF(J43='Resultat &amp; tabell'!J43,3,0))</f>
        <v>0</v>
      </c>
      <c r="L43" s="2">
        <v>4</v>
      </c>
      <c r="M43" s="21" t="str">
        <f>VLOOKUP(L43,AT40:AY43,2,FALSE)</f>
        <v>Costa Rica</v>
      </c>
      <c r="N43" s="18">
        <f>VLOOKUP(M43,$AU$40:$AY$43,2,FALSE)</f>
        <v>0</v>
      </c>
      <c r="O43" s="18">
        <f>VLOOKUP(M43,$AU$40:$AY$43,3,FALSE)</f>
        <v>0</v>
      </c>
      <c r="P43" s="18">
        <f>VLOOKUP(M43,$AU$40:$AY$43,4,FALSE)</f>
        <v>0</v>
      </c>
      <c r="Q43" s="19">
        <f>VLOOKUP(M43,$AU$40:$AY$43,5,FALSE)</f>
        <v>0</v>
      </c>
      <c r="Z43" s="88" t="str">
        <f t="shared" si="80"/>
        <v>Spanien</v>
      </c>
      <c r="AA43" s="89">
        <f t="shared" si="73"/>
        <v>0</v>
      </c>
      <c r="AB43" s="89">
        <f t="shared" si="74"/>
        <v>0</v>
      </c>
      <c r="AC43" s="89">
        <f t="shared" si="75"/>
        <v>0</v>
      </c>
      <c r="AD43" s="88" t="str">
        <f t="shared" si="81"/>
        <v>Tyskland</v>
      </c>
      <c r="AE43" s="89">
        <f t="shared" si="76"/>
        <v>0</v>
      </c>
      <c r="AF43" s="73">
        <f t="shared" si="77"/>
        <v>0</v>
      </c>
      <c r="AG43" s="73">
        <f t="shared" si="78"/>
        <v>0</v>
      </c>
      <c r="AI43" s="72">
        <f>RANK($AJ43,$AJ$40:$AJ$43,1)+COUNTIF($AJ$40:$AJ43,$AJ43)-1</f>
        <v>4</v>
      </c>
      <c r="AJ43" s="72">
        <f>AK43+AL43+AM43</f>
        <v>1</v>
      </c>
      <c r="AK43" s="72">
        <f t="shared" si="82"/>
        <v>0</v>
      </c>
      <c r="AL43" s="72">
        <f t="shared" si="83"/>
        <v>0</v>
      </c>
      <c r="AM43" s="72">
        <f t="shared" si="84"/>
        <v>1</v>
      </c>
      <c r="AN43" s="88" t="s">
        <v>51</v>
      </c>
      <c r="AO43" s="72">
        <f t="shared" si="85"/>
        <v>0</v>
      </c>
      <c r="AP43" s="72">
        <f t="shared" si="86"/>
        <v>0</v>
      </c>
      <c r="AQ43" s="72">
        <f t="shared" si="87"/>
        <v>0</v>
      </c>
      <c r="AR43" s="72">
        <f t="shared" si="88"/>
        <v>0</v>
      </c>
      <c r="AT43" s="72">
        <v>4</v>
      </c>
      <c r="AU43" s="72" t="str">
        <f t="shared" si="89"/>
        <v>Costa Rica</v>
      </c>
      <c r="AV43" s="72">
        <f t="shared" si="90"/>
        <v>0</v>
      </c>
      <c r="AW43" s="72">
        <f t="shared" si="91"/>
        <v>0</v>
      </c>
      <c r="AX43" s="72">
        <f t="shared" si="92"/>
        <v>0</v>
      </c>
      <c r="AY43" s="72">
        <f t="shared" si="93"/>
        <v>0</v>
      </c>
      <c r="AZ43" s="177"/>
      <c r="BA43" s="182"/>
      <c r="BB43" s="177"/>
      <c r="BC43" s="181"/>
      <c r="BD43" s="177"/>
      <c r="BE43" s="181"/>
      <c r="BF43" s="181"/>
      <c r="BG43" s="181"/>
      <c r="BH43" s="181"/>
      <c r="BI43" s="178"/>
      <c r="BK43" s="45"/>
      <c r="BL43" s="49"/>
      <c r="BM43" s="49"/>
      <c r="BN43" s="49"/>
      <c r="BO43" s="49"/>
    </row>
    <row r="44" spans="2:67" ht="14.25" customHeight="1" x14ac:dyDescent="0.25">
      <c r="B44" s="16">
        <v>43</v>
      </c>
      <c r="C44" s="95">
        <v>44896</v>
      </c>
      <c r="D44" s="84" t="s">
        <v>42</v>
      </c>
      <c r="E44" s="85" t="s">
        <v>6</v>
      </c>
      <c r="F44" s="86" t="s">
        <v>27</v>
      </c>
      <c r="G44" s="62"/>
      <c r="H44" s="87" t="s">
        <v>6</v>
      </c>
      <c r="I44" s="62"/>
      <c r="J44" s="64" t="str">
        <f t="shared" si="79"/>
        <v/>
      </c>
      <c r="K44" s="63">
        <f>IF(OR(G44="",I44="",'Resultat &amp; tabell'!G44="",'Resultat &amp; tabell'!I44=""),0,IF(G44='Resultat &amp; tabell'!G44,2,0)+IF(I44='Resultat &amp; tabell'!I44,2,0)+IF(J44='Resultat &amp; tabell'!J44,3,0))</f>
        <v>0</v>
      </c>
      <c r="M44" s="187">
        <f>COUNTBLANK(G40:G45)+COUNTBLANK(I40:I45)</f>
        <v>12</v>
      </c>
      <c r="N44" s="32"/>
      <c r="O44" s="117"/>
      <c r="P44" s="32"/>
      <c r="Q44" s="32"/>
      <c r="Z44" s="88" t="str">
        <f t="shared" si="80"/>
        <v>Japan</v>
      </c>
      <c r="AA44" s="89">
        <f t="shared" si="73"/>
        <v>0</v>
      </c>
      <c r="AB44" s="89">
        <f t="shared" si="74"/>
        <v>0</v>
      </c>
      <c r="AC44" s="89">
        <f t="shared" si="75"/>
        <v>0</v>
      </c>
      <c r="AD44" s="88" t="str">
        <f t="shared" si="81"/>
        <v>Spanien</v>
      </c>
      <c r="AE44" s="89">
        <f t="shared" si="76"/>
        <v>0</v>
      </c>
      <c r="AF44" s="73">
        <f t="shared" si="77"/>
        <v>0</v>
      </c>
      <c r="AG44" s="73">
        <f t="shared" si="78"/>
        <v>0</v>
      </c>
      <c r="AZ44" s="177"/>
      <c r="BA44" s="182"/>
      <c r="BB44" s="177"/>
      <c r="BC44" s="181"/>
      <c r="BD44" s="177"/>
      <c r="BE44" s="181"/>
      <c r="BF44" s="181"/>
      <c r="BG44" s="181"/>
      <c r="BH44" s="181"/>
      <c r="BI44" s="178"/>
      <c r="BL44" s="49"/>
      <c r="BM44" s="49"/>
      <c r="BN44" s="49"/>
      <c r="BO44" s="49"/>
    </row>
    <row r="45" spans="2:67" ht="14.25" customHeight="1" x14ac:dyDescent="0.25">
      <c r="B45" s="16">
        <v>44</v>
      </c>
      <c r="C45" s="95">
        <v>44896</v>
      </c>
      <c r="D45" s="84" t="s">
        <v>51</v>
      </c>
      <c r="E45" s="85" t="s">
        <v>6</v>
      </c>
      <c r="F45" s="86" t="s">
        <v>63</v>
      </c>
      <c r="G45" s="62"/>
      <c r="H45" s="87" t="s">
        <v>6</v>
      </c>
      <c r="I45" s="62"/>
      <c r="J45" s="64" t="str">
        <f t="shared" si="79"/>
        <v/>
      </c>
      <c r="K45" s="63">
        <f>IF(OR(G45="",I45="",'Resultat &amp; tabell'!G45="",'Resultat &amp; tabell'!I45=""),0,IF(G45='Resultat &amp; tabell'!G45,2,0)+IF(I45='Resultat &amp; tabell'!I45,2,0)+IF(J45='Resultat &amp; tabell'!J45,3,0))</f>
        <v>0</v>
      </c>
      <c r="M45" s="115"/>
      <c r="N45" s="117"/>
      <c r="O45" s="32"/>
      <c r="P45" s="32"/>
      <c r="Q45" s="32"/>
      <c r="Z45" s="88" t="str">
        <f t="shared" si="80"/>
        <v>Costa Rica</v>
      </c>
      <c r="AA45" s="89">
        <f t="shared" si="73"/>
        <v>0</v>
      </c>
      <c r="AB45" s="89">
        <f t="shared" si="74"/>
        <v>0</v>
      </c>
      <c r="AC45" s="89">
        <f t="shared" si="75"/>
        <v>0</v>
      </c>
      <c r="AD45" s="88" t="str">
        <f t="shared" si="81"/>
        <v>Tyskland</v>
      </c>
      <c r="AE45" s="89">
        <f t="shared" si="76"/>
        <v>0</v>
      </c>
      <c r="AF45" s="73">
        <f t="shared" si="77"/>
        <v>0</v>
      </c>
      <c r="AG45" s="73">
        <f t="shared" si="78"/>
        <v>0</v>
      </c>
      <c r="AZ45" s="177"/>
      <c r="BA45" s="182"/>
      <c r="BB45" s="177"/>
      <c r="BC45" s="181"/>
      <c r="BD45" s="177"/>
      <c r="BE45" s="181"/>
      <c r="BF45" s="181"/>
      <c r="BG45" s="181"/>
      <c r="BH45" s="181"/>
      <c r="BI45" s="178"/>
      <c r="BL45" s="49"/>
      <c r="BM45" s="49"/>
      <c r="BN45" s="49"/>
      <c r="BO45" s="49"/>
    </row>
    <row r="46" spans="2:67" ht="14.25" customHeight="1" x14ac:dyDescent="0.25">
      <c r="C46" s="38"/>
      <c r="J46" s="24"/>
      <c r="K46" s="24"/>
      <c r="N46" s="23"/>
      <c r="O46" s="35"/>
      <c r="P46" s="23"/>
      <c r="Q46" s="23"/>
      <c r="AZ46" s="177"/>
      <c r="BA46" s="182"/>
      <c r="BB46" s="177"/>
      <c r="BC46" s="181"/>
      <c r="BD46" s="177"/>
      <c r="BE46" s="181"/>
      <c r="BF46" s="181"/>
      <c r="BG46" s="181"/>
      <c r="BH46" s="181"/>
      <c r="BI46" s="178"/>
      <c r="BL46" s="49"/>
      <c r="BM46" s="46"/>
      <c r="BN46" s="49"/>
      <c r="BO46" s="49"/>
    </row>
    <row r="47" spans="2:67" s="26" customFormat="1" ht="14.25" customHeight="1" x14ac:dyDescent="0.25">
      <c r="B47" s="6" t="s">
        <v>59</v>
      </c>
      <c r="C47" s="104"/>
      <c r="D47" s="117"/>
      <c r="E47" s="27"/>
      <c r="F47" s="117"/>
      <c r="G47" s="27"/>
      <c r="H47" s="27"/>
      <c r="I47" s="27"/>
      <c r="J47" s="24"/>
      <c r="K47" s="24"/>
      <c r="L47" s="25"/>
      <c r="N47" s="117"/>
      <c r="O47" s="36"/>
      <c r="P47" s="27"/>
      <c r="Q47" s="27"/>
      <c r="S47" s="27"/>
      <c r="T47" s="27"/>
      <c r="U47" s="27"/>
      <c r="V47" s="27"/>
      <c r="W47" s="122"/>
      <c r="Z47" s="70"/>
      <c r="AA47" s="89"/>
      <c r="AB47" s="89"/>
      <c r="AC47" s="89"/>
      <c r="AD47" s="70"/>
      <c r="AE47" s="107"/>
      <c r="AF47" s="108"/>
      <c r="AG47" s="108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75"/>
      <c r="BA47" s="183"/>
      <c r="BB47" s="175"/>
      <c r="BC47" s="179"/>
      <c r="BD47" s="175"/>
      <c r="BE47" s="179"/>
      <c r="BF47" s="179"/>
      <c r="BG47" s="179"/>
      <c r="BH47" s="179"/>
      <c r="BI47" s="179"/>
      <c r="BJ47" s="110"/>
      <c r="BK47" s="1"/>
      <c r="BL47" s="24"/>
      <c r="BM47" s="123"/>
      <c r="BN47" s="24"/>
      <c r="BO47" s="24"/>
    </row>
    <row r="48" spans="2:67" s="26" customFormat="1" ht="14.25" customHeight="1" x14ac:dyDescent="0.25">
      <c r="B48" s="119" t="s">
        <v>2</v>
      </c>
      <c r="C48" s="112" t="s">
        <v>3</v>
      </c>
      <c r="D48" s="207" t="s">
        <v>2</v>
      </c>
      <c r="E48" s="208"/>
      <c r="F48" s="209"/>
      <c r="G48" s="208" t="s">
        <v>4</v>
      </c>
      <c r="H48" s="208"/>
      <c r="I48" s="208"/>
      <c r="J48" s="28" t="s">
        <v>69</v>
      </c>
      <c r="K48" s="7" t="s">
        <v>75</v>
      </c>
      <c r="L48" s="25"/>
      <c r="M48" s="8" t="s">
        <v>59</v>
      </c>
      <c r="N48" s="170" t="s">
        <v>75</v>
      </c>
      <c r="O48" s="170" t="s">
        <v>76</v>
      </c>
      <c r="P48" s="170" t="s">
        <v>77</v>
      </c>
      <c r="Q48" s="10" t="s">
        <v>87</v>
      </c>
      <c r="S48" s="27"/>
      <c r="T48" s="27"/>
      <c r="U48" s="27"/>
      <c r="V48" s="27"/>
      <c r="W48" s="122"/>
      <c r="Z48" s="81" t="s">
        <v>73</v>
      </c>
      <c r="AA48" s="81" t="s">
        <v>75</v>
      </c>
      <c r="AB48" s="81" t="s">
        <v>76</v>
      </c>
      <c r="AC48" s="81" t="s">
        <v>77</v>
      </c>
      <c r="AD48" s="81" t="s">
        <v>74</v>
      </c>
      <c r="AE48" s="81" t="s">
        <v>75</v>
      </c>
      <c r="AF48" s="81" t="s">
        <v>76</v>
      </c>
      <c r="AG48" s="81" t="s">
        <v>77</v>
      </c>
      <c r="AH48" s="107"/>
      <c r="AI48" s="82" t="s">
        <v>85</v>
      </c>
      <c r="AJ48" s="82" t="s">
        <v>84</v>
      </c>
      <c r="AK48" s="82" t="s">
        <v>83</v>
      </c>
      <c r="AL48" s="81" t="s">
        <v>82</v>
      </c>
      <c r="AM48" s="81" t="s">
        <v>81</v>
      </c>
      <c r="AN48" s="81" t="s">
        <v>78</v>
      </c>
      <c r="AO48" s="81" t="s">
        <v>75</v>
      </c>
      <c r="AP48" s="81" t="s">
        <v>76</v>
      </c>
      <c r="AQ48" s="81" t="s">
        <v>77</v>
      </c>
      <c r="AR48" s="82" t="s">
        <v>79</v>
      </c>
      <c r="AS48" s="107"/>
      <c r="AT48" s="81" t="s">
        <v>80</v>
      </c>
      <c r="AU48" s="81" t="s">
        <v>78</v>
      </c>
      <c r="AV48" s="81" t="s">
        <v>75</v>
      </c>
      <c r="AW48" s="81" t="s">
        <v>76</v>
      </c>
      <c r="AX48" s="81" t="s">
        <v>77</v>
      </c>
      <c r="AY48" s="82" t="s">
        <v>79</v>
      </c>
      <c r="AZ48" s="175"/>
      <c r="BA48" s="175"/>
      <c r="BB48" s="179"/>
      <c r="BC48" s="179"/>
      <c r="BD48" s="179"/>
      <c r="BE48" s="206"/>
      <c r="BF48" s="206"/>
      <c r="BG48" s="206"/>
      <c r="BH48" s="179"/>
      <c r="BI48" s="179"/>
      <c r="BJ48" s="110"/>
      <c r="BK48" s="114"/>
      <c r="BL48" s="24"/>
      <c r="BM48" s="24"/>
      <c r="BN48" s="24"/>
      <c r="BO48" s="24"/>
    </row>
    <row r="49" spans="2:67" ht="14.25" customHeight="1" x14ac:dyDescent="0.25">
      <c r="B49" s="16">
        <v>9</v>
      </c>
      <c r="C49" s="95">
        <v>44888</v>
      </c>
      <c r="D49" s="84" t="s">
        <v>68</v>
      </c>
      <c r="E49" s="85" t="s">
        <v>6</v>
      </c>
      <c r="F49" s="86" t="s">
        <v>161</v>
      </c>
      <c r="G49" s="62"/>
      <c r="H49" s="87" t="s">
        <v>6</v>
      </c>
      <c r="I49" s="62"/>
      <c r="J49" s="64" t="str">
        <f>IF(OR(ISBLANK(G49),ISBLANK(I49)),"",IF(G49&gt;I49,1,IF(G49&lt;I49,2,"X")))</f>
        <v/>
      </c>
      <c r="K49" s="63">
        <f>IF(OR(G49="",I49="",'Resultat &amp; tabell'!G49="",'Resultat &amp; tabell'!I49=""),0,IF(G49='Resultat &amp; tabell'!G49,2,0)+IF(I49='Resultat &amp; tabell'!I49,2,0)+IF(J49='Resultat &amp; tabell'!J49,3,0))</f>
        <v>0</v>
      </c>
      <c r="L49" s="12">
        <v>1</v>
      </c>
      <c r="M49" s="13" t="str">
        <f>VLOOKUP(L49,AT49:AY52,2,FALSE)</f>
        <v>Belgien</v>
      </c>
      <c r="N49" s="14">
        <f>VLOOKUP(M49,$AU$49:$AY$52,2,FALSE)</f>
        <v>0</v>
      </c>
      <c r="O49" s="14">
        <f>VLOOKUP(M49,$AU$49:$AY$52,3,FALSE)</f>
        <v>0</v>
      </c>
      <c r="P49" s="14">
        <f>VLOOKUP(M49,$AU$49:$AY$52,4,FALSE)</f>
        <v>0</v>
      </c>
      <c r="Q49" s="15">
        <f>VLOOKUP(M49,$AU$49:$AY$52,5,FALSE)</f>
        <v>0</v>
      </c>
      <c r="Z49" s="88" t="str">
        <f>D49</f>
        <v>Belgien</v>
      </c>
      <c r="AA49" s="89">
        <f t="shared" ref="AA49:AA54" si="94">IF(G49="",0,IF($G49&lt;$I49,0,IF($G49=$I49,1,3)))</f>
        <v>0</v>
      </c>
      <c r="AB49" s="89">
        <f t="shared" ref="AB49:AB54" si="95">G49</f>
        <v>0</v>
      </c>
      <c r="AC49" s="89">
        <f t="shared" ref="AC49:AC54" si="96">I49</f>
        <v>0</v>
      </c>
      <c r="AD49" s="88" t="str">
        <f>F49</f>
        <v>Kanada</v>
      </c>
      <c r="AE49" s="89">
        <f t="shared" ref="AE49:AE54" si="97">IF(I49="",0,IF(I49&lt;G49,0,IF(G49=I49,1,3)))</f>
        <v>0</v>
      </c>
      <c r="AF49" s="73">
        <f t="shared" ref="AF49:AF54" si="98">I49</f>
        <v>0</v>
      </c>
      <c r="AG49" s="73">
        <f t="shared" ref="AG49:AG54" si="99">G49</f>
        <v>0</v>
      </c>
      <c r="AI49" s="72">
        <f>RANK($AJ49,$AJ$49:$AJ$52,1)+COUNTIF($AJ$49:$AJ49,$AJ49)-1</f>
        <v>1</v>
      </c>
      <c r="AJ49" s="72">
        <f>AK49+AL49+AM49</f>
        <v>1</v>
      </c>
      <c r="AK49" s="72">
        <f>SUMPRODUCT(($AO$49:$AO$52=AO49)*($AR$49:$AR$52=AR49)*($AP$49:$AP$52&gt;AP49))</f>
        <v>0</v>
      </c>
      <c r="AL49" s="72">
        <f>SUMPRODUCT(($AO$49:$AO$52=AO49)*($AR$49:$AR$52&gt;AR49))</f>
        <v>0</v>
      </c>
      <c r="AM49" s="72">
        <f>RANK(AO49,$AO$49:$AO$52)</f>
        <v>1</v>
      </c>
      <c r="AN49" s="88" t="s">
        <v>68</v>
      </c>
      <c r="AO49" s="72">
        <f>SUMIF($Z$49:$Z$54,$AN49,$AA$49:$AA$54)+SUMIF($AD$49:$AD$54,$AN49,$AE$49:$AE$54)</f>
        <v>0</v>
      </c>
      <c r="AP49" s="72">
        <f>SUMIF($Z$49:$Z$54,$AN49,$AB$49:$AB$54)+SUMIF($AD$49:$AD$54,$AN49,$AF$49:$AF$54)</f>
        <v>0</v>
      </c>
      <c r="AQ49" s="72">
        <f>SUMIF($Z$49:$Z$54,$AN49,$AC$49:$AC$54)+SUMIF($AD$49:$AD$54,$AN49,$AG$49:$AG$54)</f>
        <v>0</v>
      </c>
      <c r="AR49" s="72">
        <f>AP49-AQ49</f>
        <v>0</v>
      </c>
      <c r="AT49" s="72">
        <v>1</v>
      </c>
      <c r="AU49" s="72" t="str">
        <f>VLOOKUP($AT49,$AI$49:$AR$52,6,FALSE)</f>
        <v>Belgien</v>
      </c>
      <c r="AV49" s="72">
        <f>VLOOKUP($AU49,$AN$49:$AR$52,2,FALSE)</f>
        <v>0</v>
      </c>
      <c r="AW49" s="72">
        <f>VLOOKUP($AU49,$AN$49:$AR$52,3,FALSE)</f>
        <v>0</v>
      </c>
      <c r="AX49" s="72">
        <f>VLOOKUP($AU49,$AN$49:$AR$52,4,FALSE)</f>
        <v>0</v>
      </c>
      <c r="AY49" s="72">
        <f>VLOOKUP($AU49,$AN$49:$AR$52,5,FALSE)</f>
        <v>0</v>
      </c>
      <c r="AZ49" s="177"/>
      <c r="BA49" s="182"/>
      <c r="BB49" s="177"/>
      <c r="BC49" s="181"/>
      <c r="BD49" s="177"/>
      <c r="BE49" s="181"/>
      <c r="BF49" s="181"/>
      <c r="BG49" s="181"/>
      <c r="BH49" s="181"/>
      <c r="BI49" s="178"/>
      <c r="BJ49" s="94"/>
      <c r="BK49" s="74"/>
      <c r="BL49" s="49"/>
      <c r="BM49" s="49"/>
      <c r="BN49" s="49"/>
      <c r="BO49" s="49"/>
    </row>
    <row r="50" spans="2:67" ht="14.25" customHeight="1" x14ac:dyDescent="0.25">
      <c r="B50" s="16">
        <v>12</v>
      </c>
      <c r="C50" s="95">
        <v>44888</v>
      </c>
      <c r="D50" s="84" t="s">
        <v>146</v>
      </c>
      <c r="E50" s="85" t="s">
        <v>6</v>
      </c>
      <c r="F50" s="86" t="s">
        <v>7</v>
      </c>
      <c r="G50" s="62"/>
      <c r="H50" s="87" t="s">
        <v>6</v>
      </c>
      <c r="I50" s="62"/>
      <c r="J50" s="64" t="str">
        <f t="shared" ref="J50:J54" si="100">IF(OR(ISBLANK(G50),ISBLANK(I50)),"",IF(G50&gt;I50,1,IF(G50&lt;I50,2,"X")))</f>
        <v/>
      </c>
      <c r="K50" s="63">
        <f>IF(OR(G50="",I50="",'Resultat &amp; tabell'!G50="",'Resultat &amp; tabell'!I50=""),0,IF(G50='Resultat &amp; tabell'!G50,2,0)+IF(I50='Resultat &amp; tabell'!I50,2,0)+IF(J50='Resultat &amp; tabell'!J50,3,0))</f>
        <v>0</v>
      </c>
      <c r="L50" s="2">
        <v>2</v>
      </c>
      <c r="M50" s="17" t="str">
        <f>VLOOKUP(L50,AT49:AY52,2,FALSE)</f>
        <v>Kanada</v>
      </c>
      <c r="N50" s="18">
        <f>VLOOKUP(M50,$AU$49:$AY$52,2,FALSE)</f>
        <v>0</v>
      </c>
      <c r="O50" s="18">
        <f>VLOOKUP(M50,$AU$49:$AY$52,3,FALSE)</f>
        <v>0</v>
      </c>
      <c r="P50" s="18">
        <f>VLOOKUP(M50,$AU$49:$AY$52,4,FALSE)</f>
        <v>0</v>
      </c>
      <c r="Q50" s="19">
        <f>VLOOKUP(M50,$AU$49:$AY$52,5,FALSE)</f>
        <v>0</v>
      </c>
      <c r="Z50" s="88" t="str">
        <f t="shared" ref="Z50:Z54" si="101">D50</f>
        <v>Marocko</v>
      </c>
      <c r="AA50" s="89">
        <f t="shared" si="94"/>
        <v>0</v>
      </c>
      <c r="AB50" s="89">
        <f t="shared" si="95"/>
        <v>0</v>
      </c>
      <c r="AC50" s="89">
        <f t="shared" si="96"/>
        <v>0</v>
      </c>
      <c r="AD50" s="88" t="str">
        <f t="shared" ref="AD50:AD54" si="102">F50</f>
        <v>Kroatien</v>
      </c>
      <c r="AE50" s="89">
        <f t="shared" si="97"/>
        <v>0</v>
      </c>
      <c r="AF50" s="73">
        <f t="shared" si="98"/>
        <v>0</v>
      </c>
      <c r="AG50" s="73">
        <f t="shared" si="99"/>
        <v>0</v>
      </c>
      <c r="AI50" s="72">
        <f>RANK($AJ50,$AJ$49:$AJ$52,1)+COUNTIF($AJ$49:$AJ50,$AJ50)-1</f>
        <v>2</v>
      </c>
      <c r="AJ50" s="72">
        <f>AK50+AL50+AM50</f>
        <v>1</v>
      </c>
      <c r="AK50" s="72">
        <f t="shared" ref="AK50:AK52" si="103">SUMPRODUCT(($AO$49:$AO$52=AO50)*($AR$49:$AR$52=AR50)*($AP$49:$AP$52&gt;AP50))</f>
        <v>0</v>
      </c>
      <c r="AL50" s="72">
        <f t="shared" ref="AL50:AL52" si="104">SUMPRODUCT(($AO$49:$AO$52=AO50)*($AR$49:$AR$52&gt;AR50))</f>
        <v>0</v>
      </c>
      <c r="AM50" s="72">
        <f t="shared" ref="AM50:AM52" si="105">RANK(AO50,$AO$49:$AO$52)</f>
        <v>1</v>
      </c>
      <c r="AN50" s="88" t="s">
        <v>161</v>
      </c>
      <c r="AO50" s="72">
        <f t="shared" ref="AO50:AO52" si="106">SUMIF($Z$49:$Z$54,$AN50,$AA$49:$AA$54)+SUMIF($AD$49:$AD$54,$AN50,$AE$49:$AE$54)</f>
        <v>0</v>
      </c>
      <c r="AP50" s="72">
        <f t="shared" ref="AP50:AP52" si="107">SUMIF($Z$49:$Z$54,$AN50,$AB$49:$AB$54)+SUMIF($AD$49:$AD$54,$AN50,$AF$49:$AF$54)</f>
        <v>0</v>
      </c>
      <c r="AQ50" s="72">
        <f t="shared" ref="AQ50:AQ52" si="108">SUMIF($Z$49:$Z$54,$AN50,$AC$49:$AC$54)+SUMIF($AD$49:$AD$54,$AN50,$AG$49:$AG$54)</f>
        <v>0</v>
      </c>
      <c r="AR50" s="72">
        <f t="shared" ref="AR50:AR52" si="109">AP50-AQ50</f>
        <v>0</v>
      </c>
      <c r="AT50" s="72">
        <v>2</v>
      </c>
      <c r="AU50" s="72" t="str">
        <f t="shared" ref="AU50:AU52" si="110">VLOOKUP($AT50,$AI$49:$AR$52,6,FALSE)</f>
        <v>Kanada</v>
      </c>
      <c r="AV50" s="72">
        <f t="shared" ref="AV50:AV52" si="111">VLOOKUP($AU50,$AN$49:$AR$52,2,FALSE)</f>
        <v>0</v>
      </c>
      <c r="AW50" s="72">
        <f t="shared" ref="AW50:AW52" si="112">VLOOKUP($AU50,$AN$49:$AR$52,3,FALSE)</f>
        <v>0</v>
      </c>
      <c r="AX50" s="72">
        <f t="shared" ref="AX50:AX52" si="113">VLOOKUP($AU50,$AN$49:$AR$52,4,FALSE)</f>
        <v>0</v>
      </c>
      <c r="AY50" s="72">
        <f t="shared" ref="AY50:AY52" si="114">VLOOKUP($AU50,$AN$49:$AR$52,5,FALSE)</f>
        <v>0</v>
      </c>
      <c r="AZ50" s="177"/>
      <c r="BA50" s="182"/>
      <c r="BB50" s="177"/>
      <c r="BC50" s="181"/>
      <c r="BD50" s="177"/>
      <c r="BE50" s="181"/>
      <c r="BF50" s="181"/>
      <c r="BG50" s="181"/>
      <c r="BH50" s="181"/>
      <c r="BI50" s="178"/>
      <c r="BK50" s="74"/>
      <c r="BL50" s="49"/>
      <c r="BM50" s="49"/>
      <c r="BN50" s="49"/>
      <c r="BO50" s="49"/>
    </row>
    <row r="51" spans="2:67" ht="14.25" customHeight="1" x14ac:dyDescent="0.25">
      <c r="B51" s="16">
        <v>26</v>
      </c>
      <c r="C51" s="95">
        <v>44892</v>
      </c>
      <c r="D51" s="84" t="s">
        <v>68</v>
      </c>
      <c r="E51" s="85" t="s">
        <v>6</v>
      </c>
      <c r="F51" s="86" t="s">
        <v>146</v>
      </c>
      <c r="G51" s="62"/>
      <c r="H51" s="87" t="s">
        <v>6</v>
      </c>
      <c r="I51" s="62"/>
      <c r="J51" s="64" t="str">
        <f t="shared" si="100"/>
        <v/>
      </c>
      <c r="K51" s="63">
        <f>IF(OR(G51="",I51="",'Resultat &amp; tabell'!G51="",'Resultat &amp; tabell'!I51=""),0,IF(G51='Resultat &amp; tabell'!G51,2,0)+IF(I51='Resultat &amp; tabell'!I51,2,0)+IF(J51='Resultat &amp; tabell'!J51,3,0))</f>
        <v>0</v>
      </c>
      <c r="L51" s="2">
        <v>3</v>
      </c>
      <c r="M51" s="20" t="str">
        <f>VLOOKUP(L51,AT49:AY52,2,FALSE)</f>
        <v>Marocko</v>
      </c>
      <c r="N51" s="32">
        <f>VLOOKUP(M51,$AU$49:$AY$52,2,FALSE)</f>
        <v>0</v>
      </c>
      <c r="O51" s="32">
        <f>VLOOKUP(M51,$AU$49:$AY$52,3,FALSE)</f>
        <v>0</v>
      </c>
      <c r="P51" s="32">
        <f>VLOOKUP(M51,$AU$49:$AY$52,4,FALSE)</f>
        <v>0</v>
      </c>
      <c r="Q51" s="33">
        <f>VLOOKUP(M51,$AU$49:$AY$52,5,FALSE)</f>
        <v>0</v>
      </c>
      <c r="Z51" s="88" t="str">
        <f t="shared" si="101"/>
        <v>Belgien</v>
      </c>
      <c r="AA51" s="89">
        <f t="shared" si="94"/>
        <v>0</v>
      </c>
      <c r="AB51" s="89">
        <f t="shared" si="95"/>
        <v>0</v>
      </c>
      <c r="AC51" s="89">
        <f t="shared" si="96"/>
        <v>0</v>
      </c>
      <c r="AD51" s="88" t="str">
        <f t="shared" si="102"/>
        <v>Marocko</v>
      </c>
      <c r="AE51" s="89">
        <f t="shared" si="97"/>
        <v>0</v>
      </c>
      <c r="AF51" s="73">
        <f t="shared" si="98"/>
        <v>0</v>
      </c>
      <c r="AG51" s="73">
        <f t="shared" si="99"/>
        <v>0</v>
      </c>
      <c r="AI51" s="72">
        <f>RANK($AJ51,$AJ$49:$AJ$52,1)+COUNTIF($AJ$49:$AJ51,$AJ51)-1</f>
        <v>3</v>
      </c>
      <c r="AJ51" s="72">
        <f>AK51+AL51+AM51</f>
        <v>1</v>
      </c>
      <c r="AK51" s="72">
        <f t="shared" si="103"/>
        <v>0</v>
      </c>
      <c r="AL51" s="72">
        <f t="shared" si="104"/>
        <v>0</v>
      </c>
      <c r="AM51" s="72">
        <f t="shared" si="105"/>
        <v>1</v>
      </c>
      <c r="AN51" s="88" t="s">
        <v>146</v>
      </c>
      <c r="AO51" s="72">
        <f t="shared" si="106"/>
        <v>0</v>
      </c>
      <c r="AP51" s="72">
        <f t="shared" si="107"/>
        <v>0</v>
      </c>
      <c r="AQ51" s="72">
        <f t="shared" si="108"/>
        <v>0</v>
      </c>
      <c r="AR51" s="72">
        <f t="shared" si="109"/>
        <v>0</v>
      </c>
      <c r="AT51" s="72">
        <v>3</v>
      </c>
      <c r="AU51" s="72" t="str">
        <f t="shared" si="110"/>
        <v>Marocko</v>
      </c>
      <c r="AV51" s="72">
        <f t="shared" si="111"/>
        <v>0</v>
      </c>
      <c r="AW51" s="72">
        <f t="shared" si="112"/>
        <v>0</v>
      </c>
      <c r="AX51" s="72">
        <f t="shared" si="113"/>
        <v>0</v>
      </c>
      <c r="AY51" s="72">
        <f t="shared" si="114"/>
        <v>0</v>
      </c>
      <c r="AZ51" s="177"/>
      <c r="BA51" s="182"/>
      <c r="BB51" s="177"/>
      <c r="BC51" s="181"/>
      <c r="BD51" s="177"/>
      <c r="BE51" s="181"/>
      <c r="BF51" s="181"/>
      <c r="BG51" s="181"/>
      <c r="BH51" s="181"/>
      <c r="BI51" s="178"/>
      <c r="BK51" s="45"/>
      <c r="BL51" s="49"/>
      <c r="BM51" s="49"/>
      <c r="BN51" s="49"/>
      <c r="BO51" s="49"/>
    </row>
    <row r="52" spans="2:67" ht="14.25" customHeight="1" x14ac:dyDescent="0.25">
      <c r="B52" s="16">
        <v>27</v>
      </c>
      <c r="C52" s="95">
        <v>44892</v>
      </c>
      <c r="D52" s="84" t="s">
        <v>7</v>
      </c>
      <c r="E52" s="85" t="s">
        <v>6</v>
      </c>
      <c r="F52" s="86" t="s">
        <v>161</v>
      </c>
      <c r="G52" s="62"/>
      <c r="H52" s="87" t="s">
        <v>6</v>
      </c>
      <c r="I52" s="62"/>
      <c r="J52" s="64" t="str">
        <f t="shared" si="100"/>
        <v/>
      </c>
      <c r="K52" s="63">
        <f>IF(OR(G52="",I52="",'Resultat &amp; tabell'!G52="",'Resultat &amp; tabell'!I52=""),0,IF(G52='Resultat &amp; tabell'!G52,2,0)+IF(I52='Resultat &amp; tabell'!I52,2,0)+IF(J52='Resultat &amp; tabell'!J52,3,0))</f>
        <v>0</v>
      </c>
      <c r="L52" s="2">
        <v>4</v>
      </c>
      <c r="M52" s="21" t="str">
        <f>VLOOKUP(L52,AT49:AY52,2,FALSE)</f>
        <v>Kroatien</v>
      </c>
      <c r="N52" s="18">
        <f>VLOOKUP(M52,$AU$49:$AY$52,2,FALSE)</f>
        <v>0</v>
      </c>
      <c r="O52" s="18">
        <f>VLOOKUP(M52,$AU$49:$AY$52,3,FALSE)</f>
        <v>0</v>
      </c>
      <c r="P52" s="18">
        <f>VLOOKUP(M52,$AU$49:$AY$52,4,FALSE)</f>
        <v>0</v>
      </c>
      <c r="Q52" s="19">
        <f>VLOOKUP(M52,$AU$49:$AY$52,5,FALSE)</f>
        <v>0</v>
      </c>
      <c r="Z52" s="88" t="str">
        <f t="shared" si="101"/>
        <v>Kroatien</v>
      </c>
      <c r="AA52" s="89">
        <f t="shared" si="94"/>
        <v>0</v>
      </c>
      <c r="AB52" s="89">
        <f t="shared" si="95"/>
        <v>0</v>
      </c>
      <c r="AC52" s="89">
        <f t="shared" si="96"/>
        <v>0</v>
      </c>
      <c r="AD52" s="88" t="str">
        <f t="shared" si="102"/>
        <v>Kanada</v>
      </c>
      <c r="AE52" s="89">
        <f t="shared" si="97"/>
        <v>0</v>
      </c>
      <c r="AF52" s="73">
        <f t="shared" si="98"/>
        <v>0</v>
      </c>
      <c r="AG52" s="73">
        <f t="shared" si="99"/>
        <v>0</v>
      </c>
      <c r="AI52" s="72">
        <f>RANK($AJ52,$AJ$49:$AJ$52,1)+COUNTIF($AJ$49:$AJ52,$AJ52)-1</f>
        <v>4</v>
      </c>
      <c r="AJ52" s="72">
        <f>AK52+AL52+AM52</f>
        <v>1</v>
      </c>
      <c r="AK52" s="72">
        <f t="shared" si="103"/>
        <v>0</v>
      </c>
      <c r="AL52" s="72">
        <f t="shared" si="104"/>
        <v>0</v>
      </c>
      <c r="AM52" s="72">
        <f t="shared" si="105"/>
        <v>1</v>
      </c>
      <c r="AN52" s="88" t="s">
        <v>7</v>
      </c>
      <c r="AO52" s="72">
        <f t="shared" si="106"/>
        <v>0</v>
      </c>
      <c r="AP52" s="72">
        <f t="shared" si="107"/>
        <v>0</v>
      </c>
      <c r="AQ52" s="72">
        <f t="shared" si="108"/>
        <v>0</v>
      </c>
      <c r="AR52" s="72">
        <f t="shared" si="109"/>
        <v>0</v>
      </c>
      <c r="AT52" s="72">
        <v>4</v>
      </c>
      <c r="AU52" s="72" t="str">
        <f t="shared" si="110"/>
        <v>Kroatien</v>
      </c>
      <c r="AV52" s="72">
        <f t="shared" si="111"/>
        <v>0</v>
      </c>
      <c r="AW52" s="72">
        <f t="shared" si="112"/>
        <v>0</v>
      </c>
      <c r="AX52" s="72">
        <f t="shared" si="113"/>
        <v>0</v>
      </c>
      <c r="AY52" s="72">
        <f t="shared" si="114"/>
        <v>0</v>
      </c>
      <c r="AZ52" s="177"/>
      <c r="BA52" s="182"/>
      <c r="BB52" s="177"/>
      <c r="BC52" s="181"/>
      <c r="BD52" s="177"/>
      <c r="BE52" s="181"/>
      <c r="BF52" s="181"/>
      <c r="BG52" s="181"/>
      <c r="BH52" s="181"/>
      <c r="BI52" s="178"/>
      <c r="BK52" s="45"/>
      <c r="BL52" s="49"/>
      <c r="BM52" s="49"/>
      <c r="BN52" s="49"/>
      <c r="BO52" s="49"/>
    </row>
    <row r="53" spans="2:67" ht="14.25" customHeight="1" x14ac:dyDescent="0.25">
      <c r="B53" s="16">
        <v>41</v>
      </c>
      <c r="C53" s="95">
        <v>44896</v>
      </c>
      <c r="D53" s="84" t="s">
        <v>7</v>
      </c>
      <c r="E53" s="85" t="s">
        <v>6</v>
      </c>
      <c r="F53" s="86" t="s">
        <v>68</v>
      </c>
      <c r="G53" s="62"/>
      <c r="H53" s="87" t="s">
        <v>6</v>
      </c>
      <c r="I53" s="62"/>
      <c r="J53" s="64" t="str">
        <f t="shared" si="100"/>
        <v/>
      </c>
      <c r="K53" s="63">
        <f>IF(OR(G53="",I53="",'Resultat &amp; tabell'!G53="",'Resultat &amp; tabell'!I53=""),0,IF(G53='Resultat &amp; tabell'!G53,2,0)+IF(I53='Resultat &amp; tabell'!I53,2,0)+IF(J53='Resultat &amp; tabell'!J53,3,0))</f>
        <v>0</v>
      </c>
      <c r="M53" s="187">
        <f>COUNTBLANK(G49:G54)+COUNTBLANK(I49:I54)</f>
        <v>12</v>
      </c>
      <c r="N53" s="32"/>
      <c r="O53" s="32"/>
      <c r="P53" s="32"/>
      <c r="Q53" s="32"/>
      <c r="Z53" s="88" t="str">
        <f t="shared" si="101"/>
        <v>Kroatien</v>
      </c>
      <c r="AA53" s="89">
        <f t="shared" si="94"/>
        <v>0</v>
      </c>
      <c r="AB53" s="89">
        <f t="shared" si="95"/>
        <v>0</v>
      </c>
      <c r="AC53" s="89">
        <f t="shared" si="96"/>
        <v>0</v>
      </c>
      <c r="AD53" s="88" t="str">
        <f t="shared" si="102"/>
        <v>Belgien</v>
      </c>
      <c r="AE53" s="89">
        <f t="shared" si="97"/>
        <v>0</v>
      </c>
      <c r="AF53" s="73">
        <f t="shared" si="98"/>
        <v>0</v>
      </c>
      <c r="AG53" s="73">
        <f t="shared" si="99"/>
        <v>0</v>
      </c>
      <c r="AZ53" s="177"/>
      <c r="BA53" s="182"/>
      <c r="BB53" s="177"/>
      <c r="BC53" s="181"/>
      <c r="BD53" s="177"/>
      <c r="BE53" s="181"/>
      <c r="BF53" s="181"/>
      <c r="BG53" s="181"/>
      <c r="BH53" s="181"/>
      <c r="BI53" s="178"/>
      <c r="BL53" s="49"/>
      <c r="BM53" s="49"/>
      <c r="BN53" s="49"/>
      <c r="BO53" s="49"/>
    </row>
    <row r="54" spans="2:67" ht="14.25" customHeight="1" x14ac:dyDescent="0.25">
      <c r="B54" s="16">
        <v>42</v>
      </c>
      <c r="C54" s="95">
        <v>44896</v>
      </c>
      <c r="D54" s="84" t="s">
        <v>161</v>
      </c>
      <c r="E54" s="85" t="s">
        <v>6</v>
      </c>
      <c r="F54" s="86" t="s">
        <v>146</v>
      </c>
      <c r="G54" s="62"/>
      <c r="H54" s="87" t="s">
        <v>6</v>
      </c>
      <c r="I54" s="62"/>
      <c r="J54" s="64" t="str">
        <f t="shared" si="100"/>
        <v/>
      </c>
      <c r="K54" s="63">
        <f>IF(OR(G54="",I54="",'Resultat &amp; tabell'!G54="",'Resultat &amp; tabell'!I54=""),0,IF(G54='Resultat &amp; tabell'!G54,2,0)+IF(I54='Resultat &amp; tabell'!I54,2,0)+IF(J54='Resultat &amp; tabell'!J54,3,0))</f>
        <v>0</v>
      </c>
      <c r="M54" s="117"/>
      <c r="N54" s="117"/>
      <c r="O54" s="32"/>
      <c r="P54" s="117"/>
      <c r="Q54" s="32"/>
      <c r="R54" s="117"/>
      <c r="Z54" s="88" t="str">
        <f t="shared" si="101"/>
        <v>Kanada</v>
      </c>
      <c r="AA54" s="89">
        <f t="shared" si="94"/>
        <v>0</v>
      </c>
      <c r="AB54" s="89">
        <f t="shared" si="95"/>
        <v>0</v>
      </c>
      <c r="AC54" s="89">
        <f t="shared" si="96"/>
        <v>0</v>
      </c>
      <c r="AD54" s="88" t="str">
        <f t="shared" si="102"/>
        <v>Marocko</v>
      </c>
      <c r="AE54" s="89">
        <f t="shared" si="97"/>
        <v>0</v>
      </c>
      <c r="AF54" s="73">
        <f t="shared" si="98"/>
        <v>0</v>
      </c>
      <c r="AG54" s="73">
        <f t="shared" si="99"/>
        <v>0</v>
      </c>
      <c r="AZ54" s="177"/>
      <c r="BA54" s="182"/>
      <c r="BB54" s="177"/>
      <c r="BC54" s="181"/>
      <c r="BD54" s="177"/>
      <c r="BE54" s="181"/>
      <c r="BF54" s="181"/>
      <c r="BG54" s="181"/>
      <c r="BH54" s="181"/>
      <c r="BI54" s="178"/>
      <c r="BL54" s="49"/>
      <c r="BM54" s="49"/>
      <c r="BN54" s="49"/>
      <c r="BO54" s="49"/>
    </row>
    <row r="55" spans="2:67" ht="14.25" customHeight="1" x14ac:dyDescent="0.25">
      <c r="C55" s="38"/>
      <c r="J55" s="24"/>
      <c r="K55" s="24"/>
      <c r="N55" s="23"/>
      <c r="O55" s="35"/>
      <c r="P55" s="23"/>
      <c r="Q55" s="23"/>
      <c r="AZ55" s="177"/>
      <c r="BA55" s="182"/>
      <c r="BB55" s="177"/>
      <c r="BC55" s="181"/>
      <c r="BD55" s="177"/>
      <c r="BE55" s="181"/>
      <c r="BF55" s="181"/>
      <c r="BG55" s="181"/>
      <c r="BH55" s="181"/>
      <c r="BI55" s="178"/>
      <c r="BL55" s="49"/>
      <c r="BM55" s="46"/>
      <c r="BN55" s="49"/>
      <c r="BO55" s="49"/>
    </row>
    <row r="56" spans="2:67" s="26" customFormat="1" ht="14.25" customHeight="1" x14ac:dyDescent="0.25">
      <c r="B56" s="6" t="s">
        <v>62</v>
      </c>
      <c r="C56" s="104"/>
      <c r="D56" s="117"/>
      <c r="E56" s="27"/>
      <c r="F56" s="117"/>
      <c r="G56" s="27"/>
      <c r="H56" s="27"/>
      <c r="I56" s="27"/>
      <c r="J56" s="24"/>
      <c r="K56" s="24"/>
      <c r="L56" s="25"/>
      <c r="N56" s="27"/>
      <c r="O56" s="36"/>
      <c r="P56" s="27"/>
      <c r="Q56" s="27"/>
      <c r="S56" s="27"/>
      <c r="T56" s="27"/>
      <c r="U56" s="27"/>
      <c r="V56" s="27"/>
      <c r="W56" s="122"/>
      <c r="Z56" s="70"/>
      <c r="AA56" s="89"/>
      <c r="AB56" s="89"/>
      <c r="AC56" s="89"/>
      <c r="AD56" s="70"/>
      <c r="AE56" s="107"/>
      <c r="AF56" s="108"/>
      <c r="AG56" s="108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75"/>
      <c r="BA56" s="183"/>
      <c r="BB56" s="175"/>
      <c r="BC56" s="179"/>
      <c r="BD56" s="175"/>
      <c r="BE56" s="179"/>
      <c r="BF56" s="179"/>
      <c r="BG56" s="179"/>
      <c r="BH56" s="179"/>
      <c r="BI56" s="179"/>
      <c r="BJ56" s="110"/>
      <c r="BK56" s="1"/>
      <c r="BL56" s="24"/>
      <c r="BM56" s="123"/>
      <c r="BN56" s="24"/>
      <c r="BO56" s="24"/>
    </row>
    <row r="57" spans="2:67" s="26" customFormat="1" ht="14.25" customHeight="1" x14ac:dyDescent="0.25">
      <c r="B57" s="119" t="s">
        <v>2</v>
      </c>
      <c r="C57" s="112" t="s">
        <v>3</v>
      </c>
      <c r="D57" s="207" t="s">
        <v>2</v>
      </c>
      <c r="E57" s="208"/>
      <c r="F57" s="209"/>
      <c r="G57" s="208" t="s">
        <v>4</v>
      </c>
      <c r="H57" s="208"/>
      <c r="I57" s="208"/>
      <c r="J57" s="28" t="s">
        <v>69</v>
      </c>
      <c r="K57" s="7" t="s">
        <v>75</v>
      </c>
      <c r="L57" s="25"/>
      <c r="M57" s="8" t="s">
        <v>62</v>
      </c>
      <c r="N57" s="170" t="s">
        <v>75</v>
      </c>
      <c r="O57" s="170" t="s">
        <v>76</v>
      </c>
      <c r="P57" s="170" t="s">
        <v>77</v>
      </c>
      <c r="Q57" s="10" t="s">
        <v>87</v>
      </c>
      <c r="S57" s="27"/>
      <c r="T57" s="27"/>
      <c r="U57" s="27"/>
      <c r="V57" s="27"/>
      <c r="W57" s="122"/>
      <c r="Z57" s="81" t="s">
        <v>73</v>
      </c>
      <c r="AA57" s="81" t="s">
        <v>75</v>
      </c>
      <c r="AB57" s="81" t="s">
        <v>76</v>
      </c>
      <c r="AC57" s="81" t="s">
        <v>77</v>
      </c>
      <c r="AD57" s="81" t="s">
        <v>74</v>
      </c>
      <c r="AE57" s="81" t="s">
        <v>75</v>
      </c>
      <c r="AF57" s="81" t="s">
        <v>76</v>
      </c>
      <c r="AG57" s="81" t="s">
        <v>77</v>
      </c>
      <c r="AH57" s="107"/>
      <c r="AI57" s="82" t="s">
        <v>85</v>
      </c>
      <c r="AJ57" s="82" t="s">
        <v>84</v>
      </c>
      <c r="AK57" s="82" t="s">
        <v>83</v>
      </c>
      <c r="AL57" s="81" t="s">
        <v>82</v>
      </c>
      <c r="AM57" s="81" t="s">
        <v>81</v>
      </c>
      <c r="AN57" s="81" t="s">
        <v>78</v>
      </c>
      <c r="AO57" s="81" t="s">
        <v>75</v>
      </c>
      <c r="AP57" s="81" t="s">
        <v>76</v>
      </c>
      <c r="AQ57" s="81" t="s">
        <v>77</v>
      </c>
      <c r="AR57" s="82" t="s">
        <v>79</v>
      </c>
      <c r="AS57" s="107"/>
      <c r="AT57" s="81" t="s">
        <v>80</v>
      </c>
      <c r="AU57" s="81" t="s">
        <v>78</v>
      </c>
      <c r="AV57" s="81" t="s">
        <v>75</v>
      </c>
      <c r="AW57" s="81" t="s">
        <v>76</v>
      </c>
      <c r="AX57" s="81" t="s">
        <v>77</v>
      </c>
      <c r="AY57" s="82" t="s">
        <v>79</v>
      </c>
      <c r="AZ57" s="175"/>
      <c r="BA57" s="175"/>
      <c r="BB57" s="179"/>
      <c r="BC57" s="179"/>
      <c r="BD57" s="179"/>
      <c r="BE57" s="206"/>
      <c r="BF57" s="206"/>
      <c r="BG57" s="206"/>
      <c r="BH57" s="179"/>
      <c r="BI57" s="179"/>
      <c r="BJ57" s="110"/>
      <c r="BK57" s="114"/>
      <c r="BL57" s="24"/>
      <c r="BM57" s="24"/>
      <c r="BN57" s="24"/>
      <c r="BO57" s="24"/>
    </row>
    <row r="58" spans="2:67" ht="14.25" customHeight="1" x14ac:dyDescent="0.25">
      <c r="B58" s="16">
        <v>13</v>
      </c>
      <c r="C58" s="95">
        <v>44889</v>
      </c>
      <c r="D58" s="84" t="s">
        <v>56</v>
      </c>
      <c r="E58" s="85" t="s">
        <v>6</v>
      </c>
      <c r="F58" s="86" t="s">
        <v>11</v>
      </c>
      <c r="G58" s="62"/>
      <c r="H58" s="87" t="s">
        <v>6</v>
      </c>
      <c r="I58" s="62"/>
      <c r="J58" s="64" t="str">
        <f>IF(OR(ISBLANK(G58),ISBLANK(I58)),"",IF(G58&gt;I58,1,IF(G58&lt;I58,2,"X")))</f>
        <v/>
      </c>
      <c r="K58" s="63">
        <f>IF(OR(G58="",I58="",'Resultat &amp; tabell'!G58="",'Resultat &amp; tabell'!I58=""),0,IF(G58='Resultat &amp; tabell'!G58,2,0)+IF(I58='Resultat &amp; tabell'!I58,2,0)+IF(J58='Resultat &amp; tabell'!J58,3,0))</f>
        <v>0</v>
      </c>
      <c r="L58" s="12">
        <v>1</v>
      </c>
      <c r="M58" s="13" t="str">
        <f>VLOOKUP(L58,AT58:AY61,2,FALSE)</f>
        <v>Brasilien</v>
      </c>
      <c r="N58" s="14">
        <f>VLOOKUP(M58,$AU$58:$AY$61,2,FALSE)</f>
        <v>0</v>
      </c>
      <c r="O58" s="14">
        <f>VLOOKUP(M58,$AU$58:$AY$61,3,FALSE)</f>
        <v>0</v>
      </c>
      <c r="P58" s="14">
        <f>VLOOKUP(M58,$AU$58:$AY$61,4,FALSE)</f>
        <v>0</v>
      </c>
      <c r="Q58" s="15">
        <f>VLOOKUP(M58,$AU$58:$AY$61,5,FALSE)</f>
        <v>0</v>
      </c>
      <c r="Z58" s="88" t="str">
        <f>D58</f>
        <v>Schweiz</v>
      </c>
      <c r="AA58" s="89">
        <f t="shared" ref="AA58:AA63" si="115">IF(G58="",0,IF($G58&lt;$I58,0,IF($G58=$I58,1,3)))</f>
        <v>0</v>
      </c>
      <c r="AB58" s="89">
        <f t="shared" ref="AB58:AB63" si="116">G58</f>
        <v>0</v>
      </c>
      <c r="AC58" s="89">
        <f t="shared" ref="AC58:AC63" si="117">I58</f>
        <v>0</v>
      </c>
      <c r="AD58" s="88" t="str">
        <f>F58</f>
        <v>Kamerun</v>
      </c>
      <c r="AE58" s="89">
        <f t="shared" ref="AE58:AE63" si="118">IF(I58="",0,IF(I58&lt;G58,0,IF(G58=I58,1,3)))</f>
        <v>0</v>
      </c>
      <c r="AF58" s="73">
        <f t="shared" ref="AF58:AF63" si="119">I58</f>
        <v>0</v>
      </c>
      <c r="AG58" s="73">
        <f t="shared" ref="AG58:AG63" si="120">G58</f>
        <v>0</v>
      </c>
      <c r="AI58" s="72">
        <f>RANK($AJ58,$AJ$58:$AJ$61,1)+COUNTIF($AJ$58:$AJ58,$AJ58)-1</f>
        <v>1</v>
      </c>
      <c r="AJ58" s="72">
        <f>AK58+AL58+AM58</f>
        <v>1</v>
      </c>
      <c r="AK58" s="72">
        <f>SUMPRODUCT(($AO$58:$AO$61=AO58)*($AR$58:$AR$61=AR58)*($AP$58:$AP$61&gt;AP58))</f>
        <v>0</v>
      </c>
      <c r="AL58" s="72">
        <f>SUMPRODUCT(($AO$58:$AO$61=AO58)*($AR$58:$AR$61&gt;AR58))</f>
        <v>0</v>
      </c>
      <c r="AM58" s="72">
        <f>RANK(AO58,$AO$58:$AO$61)</f>
        <v>1</v>
      </c>
      <c r="AN58" s="88" t="s">
        <v>5</v>
      </c>
      <c r="AO58" s="72">
        <f>SUMIF($Z$58:$Z$63,$AN58,$AA$58:$AA$63)+SUMIF($AD$58:$AD$63,$AN58,$AE$58:$AE$63)</f>
        <v>0</v>
      </c>
      <c r="AP58" s="72">
        <f>SUMIF($Z$58:$Z$63,$AN58,$AB$58:$AB$63)+SUMIF($AD$58:$AD$63,$AN58,$AF$58:$AF$63)</f>
        <v>0</v>
      </c>
      <c r="AQ58" s="72">
        <f>SUMIF($Z$58:$Z$63,$AN58,$AC$58:$AC$63)+SUMIF($AD$58:$AD$63,$AN58,$AG$58:$AG$63)</f>
        <v>0</v>
      </c>
      <c r="AR58" s="72">
        <f>AP58-AQ58</f>
        <v>0</v>
      </c>
      <c r="AT58" s="72">
        <v>1</v>
      </c>
      <c r="AU58" s="72" t="str">
        <f>VLOOKUP($AT58,$AI$58:$AR$61,6,FALSE)</f>
        <v>Brasilien</v>
      </c>
      <c r="AV58" s="72">
        <f>VLOOKUP($AU58,$AN$58:$AR$61,2,FALSE)</f>
        <v>0</v>
      </c>
      <c r="AW58" s="72">
        <f>VLOOKUP($AU58,$AN$58:$AR$61,3,FALSE)</f>
        <v>0</v>
      </c>
      <c r="AX58" s="72">
        <f>VLOOKUP($AU58,$AN$58:$AR$61,4,FALSE)</f>
        <v>0</v>
      </c>
      <c r="AY58" s="72">
        <f>VLOOKUP($AU58,$AN$58:$AR$61,5,FALSE)</f>
        <v>0</v>
      </c>
      <c r="AZ58" s="177"/>
      <c r="BA58" s="182"/>
      <c r="BB58" s="177"/>
      <c r="BC58" s="181"/>
      <c r="BD58" s="177"/>
      <c r="BE58" s="181"/>
      <c r="BF58" s="181"/>
      <c r="BG58" s="181"/>
      <c r="BH58" s="181"/>
      <c r="BI58" s="178"/>
      <c r="BJ58" s="94"/>
      <c r="BK58" s="74"/>
      <c r="BL58" s="49"/>
      <c r="BM58" s="49"/>
      <c r="BN58" s="49"/>
      <c r="BO58" s="49"/>
    </row>
    <row r="59" spans="2:67" ht="14.25" customHeight="1" x14ac:dyDescent="0.25">
      <c r="B59" s="16">
        <v>16</v>
      </c>
      <c r="C59" s="95">
        <v>44889</v>
      </c>
      <c r="D59" s="84" t="s">
        <v>5</v>
      </c>
      <c r="E59" s="85" t="s">
        <v>6</v>
      </c>
      <c r="F59" s="86" t="s">
        <v>148</v>
      </c>
      <c r="G59" s="62"/>
      <c r="H59" s="87" t="s">
        <v>6</v>
      </c>
      <c r="I59" s="62"/>
      <c r="J59" s="64" t="str">
        <f t="shared" ref="J59:J63" si="121">IF(OR(ISBLANK(G59),ISBLANK(I59)),"",IF(G59&gt;I59,1,IF(G59&lt;I59,2,"X")))</f>
        <v/>
      </c>
      <c r="K59" s="63">
        <f>IF(OR(G59="",I59="",'Resultat &amp; tabell'!G59="",'Resultat &amp; tabell'!I59=""),0,IF(G59='Resultat &amp; tabell'!G59,2,0)+IF(I59='Resultat &amp; tabell'!I59,2,0)+IF(J59='Resultat &amp; tabell'!J59,3,0))</f>
        <v>0</v>
      </c>
      <c r="L59" s="2">
        <v>2</v>
      </c>
      <c r="M59" s="17" t="str">
        <f>VLOOKUP(L59,AT58:AY61,2,FALSE)</f>
        <v>Serbien</v>
      </c>
      <c r="N59" s="18">
        <f>VLOOKUP(M59,$AU$58:$AY$61,2,FALSE)</f>
        <v>0</v>
      </c>
      <c r="O59" s="18">
        <f>VLOOKUP(M59,$AU$58:$AY$61,3,FALSE)</f>
        <v>0</v>
      </c>
      <c r="P59" s="18">
        <f>VLOOKUP(M59,$AU$58:$AY$61,4,FALSE)</f>
        <v>0</v>
      </c>
      <c r="Q59" s="19">
        <f>VLOOKUP(M59,$AU$58:$AY$61,5,FALSE)</f>
        <v>0</v>
      </c>
      <c r="Z59" s="88" t="str">
        <f t="shared" ref="Z59:Z63" si="122">D59</f>
        <v>Brasilien</v>
      </c>
      <c r="AA59" s="89">
        <f t="shared" si="115"/>
        <v>0</v>
      </c>
      <c r="AB59" s="89">
        <f t="shared" si="116"/>
        <v>0</v>
      </c>
      <c r="AC59" s="89">
        <f t="shared" si="117"/>
        <v>0</v>
      </c>
      <c r="AD59" s="88" t="str">
        <f t="shared" ref="AD59:AD63" si="123">F59</f>
        <v>Serbien</v>
      </c>
      <c r="AE59" s="89">
        <f t="shared" si="118"/>
        <v>0</v>
      </c>
      <c r="AF59" s="73">
        <f t="shared" si="119"/>
        <v>0</v>
      </c>
      <c r="AG59" s="73">
        <f t="shared" si="120"/>
        <v>0</v>
      </c>
      <c r="AI59" s="72">
        <f>RANK($AJ59,$AJ$58:$AJ$61,1)+COUNTIF($AJ$58:$AJ59,$AJ59)-1</f>
        <v>2</v>
      </c>
      <c r="AJ59" s="72">
        <f>AK59+AL59+AM59</f>
        <v>1</v>
      </c>
      <c r="AK59" s="72">
        <f t="shared" ref="AK59:AK61" si="124">SUMPRODUCT(($AO$58:$AO$61=AO59)*($AR$58:$AR$61=AR59)*($AP$58:$AP$61&gt;AP59))</f>
        <v>0</v>
      </c>
      <c r="AL59" s="72">
        <f t="shared" ref="AL59:AL61" si="125">SUMPRODUCT(($AO$58:$AO$61=AO59)*($AR$58:$AR$61&gt;AR59))</f>
        <v>0</v>
      </c>
      <c r="AM59" s="72">
        <f t="shared" ref="AM59:AM61" si="126">RANK(AO59,$AO$58:$AO$61)</f>
        <v>1</v>
      </c>
      <c r="AN59" s="88" t="s">
        <v>148</v>
      </c>
      <c r="AO59" s="72">
        <f t="shared" ref="AO59:AO61" si="127">SUMIF($Z$58:$Z$63,$AN59,$AA$58:$AA$63)+SUMIF($AD$58:$AD$63,$AN59,$AE$58:$AE$63)</f>
        <v>0</v>
      </c>
      <c r="AP59" s="72">
        <f t="shared" ref="AP59:AP61" si="128">SUMIF($Z$58:$Z$63,$AN59,$AB$58:$AB$63)+SUMIF($AD$58:$AD$63,$AN59,$AF$58:$AF$63)</f>
        <v>0</v>
      </c>
      <c r="AQ59" s="72">
        <f t="shared" ref="AQ59:AQ61" si="129">SUMIF($Z$58:$Z$63,$AN59,$AC$58:$AC$63)+SUMIF($AD$58:$AD$63,$AN59,$AG$58:$AG$63)</f>
        <v>0</v>
      </c>
      <c r="AR59" s="72">
        <f t="shared" ref="AR59:AR61" si="130">AP59-AQ59</f>
        <v>0</v>
      </c>
      <c r="AT59" s="72">
        <v>2</v>
      </c>
      <c r="AU59" s="72" t="str">
        <f t="shared" ref="AU59:AU61" si="131">VLOOKUP($AT59,$AI$58:$AR$61,6,FALSE)</f>
        <v>Serbien</v>
      </c>
      <c r="AV59" s="72">
        <f t="shared" ref="AV59:AV61" si="132">VLOOKUP($AU59,$AN$58:$AR$61,2,FALSE)</f>
        <v>0</v>
      </c>
      <c r="AW59" s="72">
        <f t="shared" ref="AW59:AW61" si="133">VLOOKUP($AU59,$AN$58:$AR$61,3,FALSE)</f>
        <v>0</v>
      </c>
      <c r="AX59" s="72">
        <f t="shared" ref="AX59:AX61" si="134">VLOOKUP($AU59,$AN$58:$AR$61,4,FALSE)</f>
        <v>0</v>
      </c>
      <c r="AY59" s="72">
        <f t="shared" ref="AY59:AY61" si="135">VLOOKUP($AU59,$AN$58:$AR$61,5,FALSE)</f>
        <v>0</v>
      </c>
      <c r="AZ59" s="177"/>
      <c r="BA59" s="182"/>
      <c r="BB59" s="177"/>
      <c r="BC59" s="181"/>
      <c r="BD59" s="177"/>
      <c r="BE59" s="181"/>
      <c r="BF59" s="181"/>
      <c r="BG59" s="181"/>
      <c r="BH59" s="181"/>
      <c r="BI59" s="178"/>
      <c r="BK59" s="74"/>
      <c r="BL59" s="49"/>
      <c r="BM59" s="49"/>
      <c r="BN59" s="49"/>
      <c r="BO59" s="49"/>
    </row>
    <row r="60" spans="2:67" ht="14.25" customHeight="1" x14ac:dyDescent="0.25">
      <c r="B60" s="16">
        <v>29</v>
      </c>
      <c r="C60" s="95">
        <v>44893</v>
      </c>
      <c r="D60" s="84" t="s">
        <v>11</v>
      </c>
      <c r="E60" s="85" t="s">
        <v>6</v>
      </c>
      <c r="F60" s="86" t="s">
        <v>148</v>
      </c>
      <c r="G60" s="62"/>
      <c r="H60" s="87" t="s">
        <v>6</v>
      </c>
      <c r="I60" s="62"/>
      <c r="J60" s="64" t="str">
        <f t="shared" si="121"/>
        <v/>
      </c>
      <c r="K60" s="63">
        <f>IF(OR(G60="",I60="",'Resultat &amp; tabell'!G60="",'Resultat &amp; tabell'!I60=""),0,IF(G60='Resultat &amp; tabell'!G60,2,0)+IF(I60='Resultat &amp; tabell'!I60,2,0)+IF(J60='Resultat &amp; tabell'!J60,3,0))</f>
        <v>0</v>
      </c>
      <c r="L60" s="2">
        <v>3</v>
      </c>
      <c r="M60" s="20" t="str">
        <f>VLOOKUP(L60,AT58:AY61,2,FALSE)</f>
        <v>Schweiz</v>
      </c>
      <c r="N60" s="32">
        <f>VLOOKUP(M60,$AU$58:$AY$61,2,FALSE)</f>
        <v>0</v>
      </c>
      <c r="O60" s="32">
        <f>VLOOKUP(M60,$AU$58:$AY$61,3,FALSE)</f>
        <v>0</v>
      </c>
      <c r="P60" s="32">
        <f>VLOOKUP(M60,$AU$58:$AY$61,4,FALSE)</f>
        <v>0</v>
      </c>
      <c r="Q60" s="33">
        <f>VLOOKUP(M60,$AU$58:$AY$61,5,FALSE)</f>
        <v>0</v>
      </c>
      <c r="Z60" s="88" t="str">
        <f t="shared" si="122"/>
        <v>Kamerun</v>
      </c>
      <c r="AA60" s="89">
        <f t="shared" si="115"/>
        <v>0</v>
      </c>
      <c r="AB60" s="89">
        <f t="shared" si="116"/>
        <v>0</v>
      </c>
      <c r="AC60" s="89">
        <f t="shared" si="117"/>
        <v>0</v>
      </c>
      <c r="AD60" s="88" t="str">
        <f t="shared" si="123"/>
        <v>Serbien</v>
      </c>
      <c r="AE60" s="89">
        <f t="shared" si="118"/>
        <v>0</v>
      </c>
      <c r="AF60" s="73">
        <f t="shared" si="119"/>
        <v>0</v>
      </c>
      <c r="AG60" s="73">
        <f t="shared" si="120"/>
        <v>0</v>
      </c>
      <c r="AI60" s="72">
        <f>RANK($AJ60,$AJ$58:$AJ$61,1)+COUNTIF($AJ$58:$AJ60,$AJ60)-1</f>
        <v>3</v>
      </c>
      <c r="AJ60" s="72">
        <f>AK60+AL60+AM60</f>
        <v>1</v>
      </c>
      <c r="AK60" s="72">
        <f t="shared" si="124"/>
        <v>0</v>
      </c>
      <c r="AL60" s="72">
        <f t="shared" si="125"/>
        <v>0</v>
      </c>
      <c r="AM60" s="72">
        <f t="shared" si="126"/>
        <v>1</v>
      </c>
      <c r="AN60" s="88" t="s">
        <v>56</v>
      </c>
      <c r="AO60" s="72">
        <f t="shared" si="127"/>
        <v>0</v>
      </c>
      <c r="AP60" s="72">
        <f t="shared" si="128"/>
        <v>0</v>
      </c>
      <c r="AQ60" s="72">
        <f t="shared" si="129"/>
        <v>0</v>
      </c>
      <c r="AR60" s="72">
        <f t="shared" si="130"/>
        <v>0</v>
      </c>
      <c r="AT60" s="72">
        <v>3</v>
      </c>
      <c r="AU60" s="72" t="str">
        <f t="shared" si="131"/>
        <v>Schweiz</v>
      </c>
      <c r="AV60" s="72">
        <f t="shared" si="132"/>
        <v>0</v>
      </c>
      <c r="AW60" s="72">
        <f t="shared" si="133"/>
        <v>0</v>
      </c>
      <c r="AX60" s="72">
        <f t="shared" si="134"/>
        <v>0</v>
      </c>
      <c r="AY60" s="72">
        <f t="shared" si="135"/>
        <v>0</v>
      </c>
      <c r="AZ60" s="177"/>
      <c r="BA60" s="182"/>
      <c r="BB60" s="177"/>
      <c r="BC60" s="181"/>
      <c r="BD60" s="177"/>
      <c r="BE60" s="181"/>
      <c r="BF60" s="181"/>
      <c r="BG60" s="181"/>
      <c r="BH60" s="181"/>
      <c r="BI60" s="178"/>
      <c r="BK60" s="45"/>
      <c r="BL60" s="49"/>
      <c r="BM60" s="49"/>
      <c r="BN60" s="49"/>
      <c r="BO60" s="49"/>
    </row>
    <row r="61" spans="2:67" ht="14.25" customHeight="1" x14ac:dyDescent="0.25">
      <c r="B61" s="16">
        <v>31</v>
      </c>
      <c r="C61" s="95">
        <v>44893</v>
      </c>
      <c r="D61" s="84" t="s">
        <v>5</v>
      </c>
      <c r="E61" s="85" t="s">
        <v>6</v>
      </c>
      <c r="F61" s="86" t="s">
        <v>56</v>
      </c>
      <c r="G61" s="62"/>
      <c r="H61" s="87" t="s">
        <v>6</v>
      </c>
      <c r="I61" s="62"/>
      <c r="J61" s="64" t="str">
        <f t="shared" si="121"/>
        <v/>
      </c>
      <c r="K61" s="63">
        <f>IF(OR(G61="",I61="",'Resultat &amp; tabell'!G61="",'Resultat &amp; tabell'!I61=""),0,IF(G61='Resultat &amp; tabell'!G61,2,0)+IF(I61='Resultat &amp; tabell'!I61,2,0)+IF(J61='Resultat &amp; tabell'!J61,3,0))</f>
        <v>0</v>
      </c>
      <c r="L61" s="2">
        <v>4</v>
      </c>
      <c r="M61" s="21" t="str">
        <f>VLOOKUP(L61,AT58:AY61,2,FALSE)</f>
        <v>Kamerun</v>
      </c>
      <c r="N61" s="18">
        <f>VLOOKUP(M61,$AU$58:$AY$61,2,FALSE)</f>
        <v>0</v>
      </c>
      <c r="O61" s="18">
        <f>VLOOKUP(M61,$AU$58:$AY$61,3,FALSE)</f>
        <v>0</v>
      </c>
      <c r="P61" s="18">
        <f>VLOOKUP(M61,$AU$58:$AY$61,4,FALSE)</f>
        <v>0</v>
      </c>
      <c r="Q61" s="19">
        <f>VLOOKUP(M61,$AU$58:$AY$61,5,FALSE)</f>
        <v>0</v>
      </c>
      <c r="Z61" s="88" t="str">
        <f t="shared" si="122"/>
        <v>Brasilien</v>
      </c>
      <c r="AA61" s="89">
        <f t="shared" si="115"/>
        <v>0</v>
      </c>
      <c r="AB61" s="89">
        <f t="shared" si="116"/>
        <v>0</v>
      </c>
      <c r="AC61" s="89">
        <f t="shared" si="117"/>
        <v>0</v>
      </c>
      <c r="AD61" s="88" t="str">
        <f t="shared" si="123"/>
        <v>Schweiz</v>
      </c>
      <c r="AE61" s="89">
        <f t="shared" si="118"/>
        <v>0</v>
      </c>
      <c r="AF61" s="73">
        <f t="shared" si="119"/>
        <v>0</v>
      </c>
      <c r="AG61" s="73">
        <f t="shared" si="120"/>
        <v>0</v>
      </c>
      <c r="AI61" s="72">
        <f>RANK($AJ61,$AJ$58:$AJ$61,1)+COUNTIF($AJ$58:$AJ61,$AJ61)-1</f>
        <v>4</v>
      </c>
      <c r="AJ61" s="72">
        <f>AK61+AL61+AM61</f>
        <v>1</v>
      </c>
      <c r="AK61" s="72">
        <f t="shared" si="124"/>
        <v>0</v>
      </c>
      <c r="AL61" s="72">
        <f t="shared" si="125"/>
        <v>0</v>
      </c>
      <c r="AM61" s="72">
        <f t="shared" si="126"/>
        <v>1</v>
      </c>
      <c r="AN61" s="88" t="s">
        <v>11</v>
      </c>
      <c r="AO61" s="72">
        <f t="shared" si="127"/>
        <v>0</v>
      </c>
      <c r="AP61" s="72">
        <f t="shared" si="128"/>
        <v>0</v>
      </c>
      <c r="AQ61" s="72">
        <f t="shared" si="129"/>
        <v>0</v>
      </c>
      <c r="AR61" s="72">
        <f t="shared" si="130"/>
        <v>0</v>
      </c>
      <c r="AT61" s="72">
        <v>4</v>
      </c>
      <c r="AU61" s="72" t="str">
        <f t="shared" si="131"/>
        <v>Kamerun</v>
      </c>
      <c r="AV61" s="72">
        <f t="shared" si="132"/>
        <v>0</v>
      </c>
      <c r="AW61" s="72">
        <f t="shared" si="133"/>
        <v>0</v>
      </c>
      <c r="AX61" s="72">
        <f t="shared" si="134"/>
        <v>0</v>
      </c>
      <c r="AY61" s="72">
        <f t="shared" si="135"/>
        <v>0</v>
      </c>
      <c r="AZ61" s="177"/>
      <c r="BA61" s="182"/>
      <c r="BB61" s="177"/>
      <c r="BC61" s="181"/>
      <c r="BD61" s="177"/>
      <c r="BE61" s="181"/>
      <c r="BF61" s="181"/>
      <c r="BG61" s="181"/>
      <c r="BH61" s="181"/>
      <c r="BI61" s="178"/>
      <c r="BK61" s="45"/>
      <c r="BL61" s="49"/>
      <c r="BM61" s="49"/>
      <c r="BN61" s="49"/>
      <c r="BO61" s="49"/>
    </row>
    <row r="62" spans="2:67" ht="14.25" customHeight="1" x14ac:dyDescent="0.25">
      <c r="B62" s="16">
        <v>47</v>
      </c>
      <c r="C62" s="95">
        <v>44897</v>
      </c>
      <c r="D62" s="84" t="s">
        <v>148</v>
      </c>
      <c r="E62" s="85" t="s">
        <v>6</v>
      </c>
      <c r="F62" s="86" t="s">
        <v>56</v>
      </c>
      <c r="G62" s="62"/>
      <c r="H62" s="87" t="s">
        <v>6</v>
      </c>
      <c r="I62" s="62"/>
      <c r="J62" s="64" t="str">
        <f t="shared" si="121"/>
        <v/>
      </c>
      <c r="K62" s="63">
        <f>IF(OR(G62="",I62="",'Resultat &amp; tabell'!G62="",'Resultat &amp; tabell'!I62=""),0,IF(G62='Resultat &amp; tabell'!G62,2,0)+IF(I62='Resultat &amp; tabell'!I62,2,0)+IF(J62='Resultat &amp; tabell'!J62,3,0))</f>
        <v>0</v>
      </c>
      <c r="M62" s="187">
        <f>COUNTBLANK(G58:G63)+COUNTBLANK(I58:I63)</f>
        <v>12</v>
      </c>
      <c r="N62" s="117"/>
      <c r="O62" s="35"/>
      <c r="P62" s="117"/>
      <c r="Q62" s="23"/>
      <c r="R62" s="117"/>
      <c r="Z62" s="88" t="str">
        <f t="shared" si="122"/>
        <v>Serbien</v>
      </c>
      <c r="AA62" s="89">
        <f t="shared" si="115"/>
        <v>0</v>
      </c>
      <c r="AB62" s="89">
        <f t="shared" si="116"/>
        <v>0</v>
      </c>
      <c r="AC62" s="89">
        <f t="shared" si="117"/>
        <v>0</v>
      </c>
      <c r="AD62" s="88" t="str">
        <f t="shared" si="123"/>
        <v>Schweiz</v>
      </c>
      <c r="AE62" s="89">
        <f t="shared" si="118"/>
        <v>0</v>
      </c>
      <c r="AF62" s="73">
        <f t="shared" si="119"/>
        <v>0</v>
      </c>
      <c r="AG62" s="73">
        <f t="shared" si="120"/>
        <v>0</v>
      </c>
      <c r="AZ62" s="177"/>
      <c r="BA62" s="182"/>
      <c r="BB62" s="177"/>
      <c r="BC62" s="181"/>
      <c r="BD62" s="177"/>
      <c r="BE62" s="181"/>
      <c r="BF62" s="181"/>
      <c r="BG62" s="181"/>
      <c r="BH62" s="181"/>
      <c r="BI62" s="178"/>
      <c r="BL62" s="49"/>
      <c r="BM62" s="46"/>
      <c r="BN62" s="49"/>
      <c r="BO62" s="49"/>
    </row>
    <row r="63" spans="2:67" ht="14.25" customHeight="1" x14ac:dyDescent="0.25">
      <c r="B63" s="16">
        <v>48</v>
      </c>
      <c r="C63" s="95">
        <v>44897</v>
      </c>
      <c r="D63" s="84" t="s">
        <v>11</v>
      </c>
      <c r="E63" s="85" t="s">
        <v>6</v>
      </c>
      <c r="F63" s="86" t="s">
        <v>5</v>
      </c>
      <c r="G63" s="62"/>
      <c r="H63" s="87" t="s">
        <v>6</v>
      </c>
      <c r="I63" s="62"/>
      <c r="J63" s="64" t="str">
        <f t="shared" si="121"/>
        <v/>
      </c>
      <c r="K63" s="63">
        <f>IF(OR(G63="",I63="",'Resultat &amp; tabell'!G63="",'Resultat &amp; tabell'!I63=""),0,IF(G63='Resultat &amp; tabell'!G63,2,0)+IF(I63='Resultat &amp; tabell'!I63,2,0)+IF(J63='Resultat &amp; tabell'!J63,3,0))</f>
        <v>0</v>
      </c>
      <c r="N63" s="23"/>
      <c r="O63" s="35"/>
      <c r="P63" s="23"/>
      <c r="Q63" s="23"/>
      <c r="Z63" s="88" t="str">
        <f t="shared" si="122"/>
        <v>Kamerun</v>
      </c>
      <c r="AA63" s="89">
        <f t="shared" si="115"/>
        <v>0</v>
      </c>
      <c r="AB63" s="89">
        <f t="shared" si="116"/>
        <v>0</v>
      </c>
      <c r="AC63" s="89">
        <f t="shared" si="117"/>
        <v>0</v>
      </c>
      <c r="AD63" s="88" t="str">
        <f t="shared" si="123"/>
        <v>Brasilien</v>
      </c>
      <c r="AE63" s="89">
        <f t="shared" si="118"/>
        <v>0</v>
      </c>
      <c r="AF63" s="73">
        <f t="shared" si="119"/>
        <v>0</v>
      </c>
      <c r="AG63" s="73">
        <f t="shared" si="120"/>
        <v>0</v>
      </c>
      <c r="AZ63" s="177"/>
      <c r="BA63" s="182"/>
      <c r="BB63" s="177"/>
      <c r="BC63" s="181"/>
      <c r="BD63" s="177"/>
      <c r="BE63" s="181"/>
      <c r="BF63" s="181"/>
      <c r="BG63" s="181"/>
      <c r="BH63" s="181"/>
      <c r="BI63" s="178"/>
      <c r="BL63" s="49"/>
      <c r="BM63" s="46"/>
      <c r="BN63" s="49"/>
      <c r="BO63" s="49"/>
    </row>
    <row r="64" spans="2:67" ht="14.25" customHeight="1" x14ac:dyDescent="0.25">
      <c r="C64" s="38"/>
      <c r="F64" s="117"/>
      <c r="J64" s="24"/>
      <c r="K64" s="24"/>
      <c r="N64" s="23"/>
      <c r="O64" s="35"/>
      <c r="P64" s="23"/>
      <c r="Q64" s="23"/>
      <c r="AZ64" s="177"/>
      <c r="BA64" s="182"/>
      <c r="BB64" s="177"/>
      <c r="BC64" s="181"/>
      <c r="BD64" s="177"/>
      <c r="BE64" s="181"/>
      <c r="BF64" s="181"/>
      <c r="BG64" s="181"/>
      <c r="BH64" s="181"/>
      <c r="BI64" s="178"/>
      <c r="BL64" s="49"/>
      <c r="BM64" s="46"/>
      <c r="BN64" s="49"/>
      <c r="BO64" s="49"/>
    </row>
    <row r="65" spans="2:68" s="26" customFormat="1" ht="14.25" customHeight="1" x14ac:dyDescent="0.25">
      <c r="B65" s="6" t="s">
        <v>67</v>
      </c>
      <c r="C65" s="104"/>
      <c r="D65" s="68"/>
      <c r="E65" s="27"/>
      <c r="F65" s="68"/>
      <c r="G65" s="27"/>
      <c r="H65" s="27"/>
      <c r="I65" s="27"/>
      <c r="J65" s="24"/>
      <c r="K65" s="24"/>
      <c r="L65" s="25"/>
      <c r="N65" s="27"/>
      <c r="O65" s="36"/>
      <c r="P65" s="27"/>
      <c r="Q65" s="27"/>
      <c r="S65" s="27"/>
      <c r="T65" s="27"/>
      <c r="U65" s="27"/>
      <c r="V65" s="27"/>
      <c r="W65" s="122"/>
      <c r="Z65" s="70"/>
      <c r="AA65" s="89"/>
      <c r="AB65" s="89"/>
      <c r="AC65" s="89"/>
      <c r="AD65" s="70"/>
      <c r="AE65" s="107"/>
      <c r="AF65" s="108"/>
      <c r="AG65" s="108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75"/>
      <c r="BA65" s="183"/>
      <c r="BB65" s="175"/>
      <c r="BC65" s="179"/>
      <c r="BD65" s="175"/>
      <c r="BE65" s="179"/>
      <c r="BF65" s="179"/>
      <c r="BG65" s="179"/>
      <c r="BH65" s="179"/>
      <c r="BI65" s="179"/>
      <c r="BJ65" s="110"/>
      <c r="BK65" s="1"/>
      <c r="BL65" s="24"/>
      <c r="BM65" s="123"/>
      <c r="BN65" s="24"/>
      <c r="BO65" s="24"/>
    </row>
    <row r="66" spans="2:68" s="26" customFormat="1" ht="14.25" customHeight="1" x14ac:dyDescent="0.25">
      <c r="B66" s="119" t="s">
        <v>2</v>
      </c>
      <c r="C66" s="112" t="s">
        <v>3</v>
      </c>
      <c r="D66" s="207" t="s">
        <v>2</v>
      </c>
      <c r="E66" s="208"/>
      <c r="F66" s="209"/>
      <c r="G66" s="208" t="s">
        <v>4</v>
      </c>
      <c r="H66" s="208"/>
      <c r="I66" s="208"/>
      <c r="J66" s="28" t="s">
        <v>69</v>
      </c>
      <c r="K66" s="7" t="s">
        <v>75</v>
      </c>
      <c r="L66" s="25"/>
      <c r="M66" s="8" t="s">
        <v>67</v>
      </c>
      <c r="N66" s="170" t="s">
        <v>75</v>
      </c>
      <c r="O66" s="170" t="s">
        <v>76</v>
      </c>
      <c r="P66" s="170" t="s">
        <v>77</v>
      </c>
      <c r="Q66" s="10" t="s">
        <v>87</v>
      </c>
      <c r="S66" s="27"/>
      <c r="T66" s="27"/>
      <c r="U66" s="27"/>
      <c r="V66" s="27"/>
      <c r="W66" s="122"/>
      <c r="Z66" s="81" t="s">
        <v>73</v>
      </c>
      <c r="AA66" s="81" t="s">
        <v>75</v>
      </c>
      <c r="AB66" s="81" t="s">
        <v>76</v>
      </c>
      <c r="AC66" s="81" t="s">
        <v>77</v>
      </c>
      <c r="AD66" s="81" t="s">
        <v>74</v>
      </c>
      <c r="AE66" s="81" t="s">
        <v>75</v>
      </c>
      <c r="AF66" s="81" t="s">
        <v>76</v>
      </c>
      <c r="AG66" s="81" t="s">
        <v>77</v>
      </c>
      <c r="AH66" s="107"/>
      <c r="AI66" s="82" t="s">
        <v>85</v>
      </c>
      <c r="AJ66" s="82" t="s">
        <v>84</v>
      </c>
      <c r="AK66" s="82" t="s">
        <v>83</v>
      </c>
      <c r="AL66" s="81" t="s">
        <v>82</v>
      </c>
      <c r="AM66" s="81" t="s">
        <v>81</v>
      </c>
      <c r="AN66" s="81" t="s">
        <v>78</v>
      </c>
      <c r="AO66" s="81" t="s">
        <v>75</v>
      </c>
      <c r="AP66" s="81" t="s">
        <v>76</v>
      </c>
      <c r="AQ66" s="81" t="s">
        <v>77</v>
      </c>
      <c r="AR66" s="82" t="s">
        <v>79</v>
      </c>
      <c r="AS66" s="107"/>
      <c r="AT66" s="81" t="s">
        <v>80</v>
      </c>
      <c r="AU66" s="81" t="s">
        <v>78</v>
      </c>
      <c r="AV66" s="81" t="s">
        <v>75</v>
      </c>
      <c r="AW66" s="81" t="s">
        <v>76</v>
      </c>
      <c r="AX66" s="81" t="s">
        <v>77</v>
      </c>
      <c r="AY66" s="82" t="s">
        <v>79</v>
      </c>
      <c r="AZ66" s="175"/>
      <c r="BA66" s="175"/>
      <c r="BB66" s="179"/>
      <c r="BC66" s="179"/>
      <c r="BD66" s="179"/>
      <c r="BE66" s="206"/>
      <c r="BF66" s="206"/>
      <c r="BG66" s="206"/>
      <c r="BH66" s="179"/>
      <c r="BI66" s="179"/>
      <c r="BJ66" s="110"/>
      <c r="BK66" s="114"/>
      <c r="BL66" s="24"/>
      <c r="BM66" s="24"/>
      <c r="BN66" s="24"/>
      <c r="BO66" s="24"/>
    </row>
    <row r="67" spans="2:68" ht="14.25" customHeight="1" x14ac:dyDescent="0.25">
      <c r="B67" s="16">
        <v>14</v>
      </c>
      <c r="C67" s="95">
        <v>44889</v>
      </c>
      <c r="D67" s="84" t="s">
        <v>50</v>
      </c>
      <c r="E67" s="85" t="s">
        <v>6</v>
      </c>
      <c r="F67" s="86" t="s">
        <v>162</v>
      </c>
      <c r="G67" s="62"/>
      <c r="H67" s="87" t="s">
        <v>6</v>
      </c>
      <c r="I67" s="62"/>
      <c r="J67" s="64" t="str">
        <f>IF(OR(ISBLANK(G67),ISBLANK(I67)),"",IF(G67&gt;I67,1,IF(G67&lt;I67,2,"X")))</f>
        <v/>
      </c>
      <c r="K67" s="63">
        <f>IF(OR(G67="",I67="",'Resultat &amp; tabell'!G67="",'Resultat &amp; tabell'!I67=""),0,IF(G67='Resultat &amp; tabell'!G67,2,0)+IF(I67='Resultat &amp; tabell'!I67,2,0)+IF(J67='Resultat &amp; tabell'!J67,3,0))</f>
        <v>0</v>
      </c>
      <c r="L67" s="12">
        <v>1</v>
      </c>
      <c r="M67" s="13" t="str">
        <f>VLOOKUP(L67,AT67:AY70,2,FALSE)</f>
        <v>Portugal</v>
      </c>
      <c r="N67" s="14">
        <f>VLOOKUP(M67,$AU$67:$AY$70,2,FALSE)</f>
        <v>0</v>
      </c>
      <c r="O67" s="14">
        <f>VLOOKUP(M67,$AU$67:$AY$70,3,FALSE)</f>
        <v>0</v>
      </c>
      <c r="P67" s="14">
        <f>VLOOKUP(M67,$AU$67:$AY$70,4,FALSE)</f>
        <v>0</v>
      </c>
      <c r="Q67" s="15">
        <f>VLOOKUP(M67,$AU$67:$AY$70,5,FALSE)</f>
        <v>0</v>
      </c>
      <c r="Z67" s="88" t="str">
        <f>D67</f>
        <v>Uruguay</v>
      </c>
      <c r="AA67" s="89">
        <f t="shared" ref="AA67:AA72" si="136">IF(G67="",0,IF($G67&lt;$I67,0,IF($G67=$I67,1,3)))</f>
        <v>0</v>
      </c>
      <c r="AB67" s="89">
        <f t="shared" ref="AB67:AB72" si="137">G67</f>
        <v>0</v>
      </c>
      <c r="AC67" s="89">
        <f t="shared" ref="AC67:AC72" si="138">I67</f>
        <v>0</v>
      </c>
      <c r="AD67" s="88" t="str">
        <f>F67</f>
        <v>Korea</v>
      </c>
      <c r="AE67" s="89">
        <f t="shared" ref="AE67:AE72" si="139">IF(I67="",0,IF(I67&lt;G67,0,IF(G67=I67,1,3)))</f>
        <v>0</v>
      </c>
      <c r="AF67" s="73">
        <f t="shared" ref="AF67:AF72" si="140">I67</f>
        <v>0</v>
      </c>
      <c r="AG67" s="73">
        <f t="shared" ref="AG67:AG72" si="141">G67</f>
        <v>0</v>
      </c>
      <c r="AI67" s="72">
        <f>RANK($AJ67,$AJ$67:$AJ$71,1)+COUNTIF($AJ$67:$AJ67,$AJ67)-1</f>
        <v>1</v>
      </c>
      <c r="AJ67" s="72">
        <f>AK67+AL67+AM67</f>
        <v>1</v>
      </c>
      <c r="AK67" s="72">
        <f>SUMPRODUCT(($AO$67:$AO$70=AO67)*($AR$67:$AR$70=AR67)*($AP$67:$AP$70&gt;AP67))</f>
        <v>0</v>
      </c>
      <c r="AL67" s="72">
        <f>SUMPRODUCT(($AO$67:$AO$70=AO67)*($AR$67:$AR$70&gt;AR67))</f>
        <v>0</v>
      </c>
      <c r="AM67" s="72">
        <f>RANK(AO67,$AO$67:$AO$70)</f>
        <v>1</v>
      </c>
      <c r="AN67" s="88" t="s">
        <v>64</v>
      </c>
      <c r="AO67" s="72">
        <f>SUMIF($Z$67:$Z$72,$AN67,$AA$67:$AA$72)+SUMIF($AD$67:$AD$72,$AN67,$AE$67:$AE$72)</f>
        <v>0</v>
      </c>
      <c r="AP67" s="72">
        <f>SUMIF($Z$67:$Z$72,$AN67,$AB$67:$AB$72)+SUMIF($AD$67:$AD$72,$AN67,$AF$67:$AF$72)</f>
        <v>0</v>
      </c>
      <c r="AQ67" s="72">
        <f>SUMIF($Z$67:$Z$72,$AN67,$AC$67:$AC$72)+SUMIF($AD$67:$AD$72,$AN67,$AG$67:$AG$72)</f>
        <v>0</v>
      </c>
      <c r="AR67" s="72">
        <f>AP67-AQ67</f>
        <v>0</v>
      </c>
      <c r="AT67" s="72">
        <v>1</v>
      </c>
      <c r="AU67" s="72" t="str">
        <f>VLOOKUP($AT67,$AI$67:$AR$70,6,FALSE)</f>
        <v>Portugal</v>
      </c>
      <c r="AV67" s="72">
        <f>VLOOKUP($AU67,$AN$67:$AR$70,2,FALSE)</f>
        <v>0</v>
      </c>
      <c r="AW67" s="72">
        <f>VLOOKUP($AU67,$AN$67:$AR$70,3,FALSE)</f>
        <v>0</v>
      </c>
      <c r="AX67" s="72">
        <f>VLOOKUP($AU67,$AN$67:$AR$70,4,FALSE)</f>
        <v>0</v>
      </c>
      <c r="AY67" s="72">
        <f>VLOOKUP($AU67,$AN$67:$AR$70,5,FALSE)</f>
        <v>0</v>
      </c>
      <c r="AZ67" s="177"/>
      <c r="BA67" s="182"/>
      <c r="BB67" s="177"/>
      <c r="BC67" s="181"/>
      <c r="BD67" s="177"/>
      <c r="BE67" s="181"/>
      <c r="BF67" s="181"/>
      <c r="BG67" s="181"/>
      <c r="BH67" s="181"/>
      <c r="BI67" s="178"/>
      <c r="BJ67" s="94"/>
      <c r="BK67" s="74"/>
      <c r="BL67" s="49"/>
      <c r="BM67" s="49"/>
      <c r="BN67" s="49"/>
      <c r="BO67" s="49"/>
    </row>
    <row r="68" spans="2:68" ht="14.25" customHeight="1" x14ac:dyDescent="0.25">
      <c r="B68" s="16">
        <v>15</v>
      </c>
      <c r="C68" s="95">
        <v>44889</v>
      </c>
      <c r="D68" s="84" t="s">
        <v>64</v>
      </c>
      <c r="E68" s="85" t="s">
        <v>6</v>
      </c>
      <c r="F68" s="86" t="s">
        <v>65</v>
      </c>
      <c r="G68" s="62"/>
      <c r="H68" s="87" t="s">
        <v>6</v>
      </c>
      <c r="I68" s="62"/>
      <c r="J68" s="64" t="str">
        <f t="shared" ref="J68:J72" si="142">IF(OR(ISBLANK(G68),ISBLANK(I68)),"",IF(G68&gt;I68,1,IF(G68&lt;I68,2,"X")))</f>
        <v/>
      </c>
      <c r="K68" s="63">
        <f>IF(OR(G68="",I68="",'Resultat &amp; tabell'!G68="",'Resultat &amp; tabell'!I68=""),0,IF(G68='Resultat &amp; tabell'!G68,2,0)+IF(I68='Resultat &amp; tabell'!I68,2,0)+IF(J68='Resultat &amp; tabell'!J68,3,0))</f>
        <v>0</v>
      </c>
      <c r="L68" s="2">
        <v>2</v>
      </c>
      <c r="M68" s="17" t="str">
        <f>VLOOKUP(L68,AT67:AY70,2,FALSE)</f>
        <v>Ghana</v>
      </c>
      <c r="N68" s="18">
        <f>VLOOKUP(M68,$AU$67:$AY$70,2,FALSE)</f>
        <v>0</v>
      </c>
      <c r="O68" s="18">
        <f>VLOOKUP(M68,$AU$67:$AY$70,3,FALSE)</f>
        <v>0</v>
      </c>
      <c r="P68" s="18">
        <f>VLOOKUP(M68,$AU$67:$AY$70,4,FALSE)</f>
        <v>0</v>
      </c>
      <c r="Q68" s="19">
        <f>VLOOKUP(M68,$AU$67:$AY$70,5,FALSE)</f>
        <v>0</v>
      </c>
      <c r="Z68" s="88" t="str">
        <f t="shared" ref="Z68:Z72" si="143">D68</f>
        <v>Portugal</v>
      </c>
      <c r="AA68" s="89">
        <f t="shared" si="136"/>
        <v>0</v>
      </c>
      <c r="AB68" s="89">
        <f t="shared" si="137"/>
        <v>0</v>
      </c>
      <c r="AC68" s="89">
        <f t="shared" si="138"/>
        <v>0</v>
      </c>
      <c r="AD68" s="88" t="str">
        <f t="shared" ref="AD68:AD72" si="144">F68</f>
        <v>Ghana</v>
      </c>
      <c r="AE68" s="89">
        <f t="shared" si="139"/>
        <v>0</v>
      </c>
      <c r="AF68" s="73">
        <f t="shared" si="140"/>
        <v>0</v>
      </c>
      <c r="AG68" s="73">
        <f t="shared" si="141"/>
        <v>0</v>
      </c>
      <c r="AI68" s="72">
        <f>RANK($AJ68,$AJ$67:$AJ$71,1)+COUNTIF($AJ$67:$AJ68,$AJ68)-1</f>
        <v>2</v>
      </c>
      <c r="AJ68" s="72">
        <f>AK68+AL68+AM68</f>
        <v>1</v>
      </c>
      <c r="AK68" s="72">
        <f t="shared" ref="AK68:AK70" si="145">SUMPRODUCT(($AO$67:$AO$70=AO68)*($AR$67:$AR$70=AR68)*($AP$67:$AP$70&gt;AP68))</f>
        <v>0</v>
      </c>
      <c r="AL68" s="72">
        <f t="shared" ref="AL68:AL70" si="146">SUMPRODUCT(($AO$67:$AO$70=AO68)*($AR$67:$AR$70&gt;AR68))</f>
        <v>0</v>
      </c>
      <c r="AM68" s="72">
        <f t="shared" ref="AM68:AM70" si="147">RANK(AO68,$AO$67:$AO$70)</f>
        <v>1</v>
      </c>
      <c r="AN68" s="88" t="s">
        <v>65</v>
      </c>
      <c r="AO68" s="72">
        <f t="shared" ref="AO68:AO70" si="148">SUMIF($Z$67:$Z$72,$AN68,$AA$67:$AA$72)+SUMIF($AD$67:$AD$72,$AN68,$AE$67:$AE$72)</f>
        <v>0</v>
      </c>
      <c r="AP68" s="72">
        <f t="shared" ref="AP68:AP70" si="149">SUMIF($Z$67:$Z$72,$AN68,$AB$67:$AB$72)+SUMIF($AD$67:$AD$72,$AN68,$AF$67:$AF$72)</f>
        <v>0</v>
      </c>
      <c r="AQ68" s="72">
        <f t="shared" ref="AQ68:AQ70" si="150">SUMIF($Z$67:$Z$72,$AN68,$AC$67:$AC$72)+SUMIF($AD$67:$AD$72,$AN68,$AG$67:$AG$72)</f>
        <v>0</v>
      </c>
      <c r="AR68" s="72">
        <f t="shared" ref="AR68:AR70" si="151">AP68-AQ68</f>
        <v>0</v>
      </c>
      <c r="AT68" s="72">
        <v>2</v>
      </c>
      <c r="AU68" s="72" t="str">
        <f t="shared" ref="AU68:AU70" si="152">VLOOKUP($AT68,$AI$67:$AR$70,6,FALSE)</f>
        <v>Ghana</v>
      </c>
      <c r="AV68" s="72">
        <f t="shared" ref="AV68:AV70" si="153">VLOOKUP($AU68,$AN$67:$AR$70,2,FALSE)</f>
        <v>0</v>
      </c>
      <c r="AW68" s="72">
        <f t="shared" ref="AW68:AW70" si="154">VLOOKUP($AU68,$AN$67:$AR$70,3,FALSE)</f>
        <v>0</v>
      </c>
      <c r="AX68" s="72">
        <f t="shared" ref="AX68:AX70" si="155">VLOOKUP($AU68,$AN$67:$AR$70,4,FALSE)</f>
        <v>0</v>
      </c>
      <c r="AY68" s="72">
        <f t="shared" ref="AY68:AY70" si="156">VLOOKUP($AU68,$AN$67:$AR$70,5,FALSE)</f>
        <v>0</v>
      </c>
      <c r="AZ68" s="177"/>
      <c r="BA68" s="182"/>
      <c r="BB68" s="177"/>
      <c r="BC68" s="181"/>
      <c r="BD68" s="177"/>
      <c r="BE68" s="181"/>
      <c r="BF68" s="181"/>
      <c r="BG68" s="181"/>
      <c r="BH68" s="181"/>
      <c r="BI68" s="178"/>
      <c r="BK68" s="74"/>
      <c r="BL68" s="49"/>
      <c r="BM68" s="49"/>
      <c r="BN68" s="49"/>
      <c r="BO68" s="49"/>
    </row>
    <row r="69" spans="2:68" ht="14.25" customHeight="1" x14ac:dyDescent="0.25">
      <c r="B69" s="16">
        <v>30</v>
      </c>
      <c r="C69" s="95">
        <v>44893</v>
      </c>
      <c r="D69" s="84" t="s">
        <v>162</v>
      </c>
      <c r="E69" s="85" t="s">
        <v>6</v>
      </c>
      <c r="F69" s="86" t="s">
        <v>65</v>
      </c>
      <c r="G69" s="62"/>
      <c r="H69" s="87" t="s">
        <v>6</v>
      </c>
      <c r="I69" s="62"/>
      <c r="J69" s="64" t="str">
        <f t="shared" si="142"/>
        <v/>
      </c>
      <c r="K69" s="63">
        <f>IF(OR(G69="",I69="",'Resultat &amp; tabell'!G69="",'Resultat &amp; tabell'!I69=""),0,IF(G69='Resultat &amp; tabell'!G69,2,0)+IF(I69='Resultat &amp; tabell'!I69,2,0)+IF(J69='Resultat &amp; tabell'!J69,3,0))</f>
        <v>0</v>
      </c>
      <c r="L69" s="2">
        <v>3</v>
      </c>
      <c r="M69" s="20" t="str">
        <f>VLOOKUP(L69,AT67:AY70,2,FALSE)</f>
        <v>Uruguay</v>
      </c>
      <c r="N69" s="32">
        <f>VLOOKUP(M69,$AU$67:$AY$70,2,FALSE)</f>
        <v>0</v>
      </c>
      <c r="O69" s="32">
        <f>VLOOKUP(M69,$AU$67:$AY$70,3,FALSE)</f>
        <v>0</v>
      </c>
      <c r="P69" s="32">
        <f>VLOOKUP(M69,$AU$67:$AY$70,4,FALSE)</f>
        <v>0</v>
      </c>
      <c r="Q69" s="33">
        <f>VLOOKUP(M69,$AU$67:$AY$70,5,FALSE)</f>
        <v>0</v>
      </c>
      <c r="Z69" s="88" t="str">
        <f t="shared" si="143"/>
        <v>Korea</v>
      </c>
      <c r="AA69" s="89">
        <f t="shared" si="136"/>
        <v>0</v>
      </c>
      <c r="AB69" s="89">
        <f t="shared" si="137"/>
        <v>0</v>
      </c>
      <c r="AC69" s="89">
        <f t="shared" si="138"/>
        <v>0</v>
      </c>
      <c r="AD69" s="88" t="str">
        <f t="shared" si="144"/>
        <v>Ghana</v>
      </c>
      <c r="AE69" s="89">
        <f t="shared" si="139"/>
        <v>0</v>
      </c>
      <c r="AF69" s="73">
        <f t="shared" si="140"/>
        <v>0</v>
      </c>
      <c r="AG69" s="73">
        <f t="shared" si="141"/>
        <v>0</v>
      </c>
      <c r="AI69" s="72">
        <f>RANK($AJ69,$AJ$67:$AJ$71,1)+COUNTIF($AJ$67:$AJ69,$AJ69)-1</f>
        <v>3</v>
      </c>
      <c r="AJ69" s="72">
        <f>AK69+AL69+AM69</f>
        <v>1</v>
      </c>
      <c r="AK69" s="72">
        <f t="shared" si="145"/>
        <v>0</v>
      </c>
      <c r="AL69" s="72">
        <f t="shared" si="146"/>
        <v>0</v>
      </c>
      <c r="AM69" s="72">
        <f t="shared" si="147"/>
        <v>1</v>
      </c>
      <c r="AN69" s="88" t="s">
        <v>50</v>
      </c>
      <c r="AO69" s="72">
        <f t="shared" si="148"/>
        <v>0</v>
      </c>
      <c r="AP69" s="72">
        <f t="shared" si="149"/>
        <v>0</v>
      </c>
      <c r="AQ69" s="72">
        <f t="shared" si="150"/>
        <v>0</v>
      </c>
      <c r="AR69" s="72">
        <f t="shared" si="151"/>
        <v>0</v>
      </c>
      <c r="AT69" s="72">
        <v>3</v>
      </c>
      <c r="AU69" s="72" t="str">
        <f t="shared" si="152"/>
        <v>Uruguay</v>
      </c>
      <c r="AV69" s="72">
        <f t="shared" si="153"/>
        <v>0</v>
      </c>
      <c r="AW69" s="72">
        <f t="shared" si="154"/>
        <v>0</v>
      </c>
      <c r="AX69" s="72">
        <f t="shared" si="155"/>
        <v>0</v>
      </c>
      <c r="AY69" s="72">
        <f t="shared" si="156"/>
        <v>0</v>
      </c>
      <c r="AZ69" s="177"/>
      <c r="BA69" s="182"/>
      <c r="BB69" s="177"/>
      <c r="BC69" s="181"/>
      <c r="BD69" s="177"/>
      <c r="BE69" s="181"/>
      <c r="BF69" s="181"/>
      <c r="BG69" s="181"/>
      <c r="BH69" s="181"/>
      <c r="BI69" s="178"/>
      <c r="BK69" s="45"/>
      <c r="BL69" s="49"/>
      <c r="BM69" s="49"/>
      <c r="BN69" s="49"/>
      <c r="BO69" s="49"/>
    </row>
    <row r="70" spans="2:68" ht="14.25" customHeight="1" x14ac:dyDescent="0.25">
      <c r="B70" s="16">
        <v>32</v>
      </c>
      <c r="C70" s="95">
        <v>44893</v>
      </c>
      <c r="D70" s="84" t="s">
        <v>64</v>
      </c>
      <c r="E70" s="85" t="s">
        <v>6</v>
      </c>
      <c r="F70" s="86" t="s">
        <v>50</v>
      </c>
      <c r="G70" s="62"/>
      <c r="H70" s="87" t="s">
        <v>6</v>
      </c>
      <c r="I70" s="62"/>
      <c r="J70" s="64" t="str">
        <f t="shared" si="142"/>
        <v/>
      </c>
      <c r="K70" s="63">
        <f>IF(OR(G70="",I70="",'Resultat &amp; tabell'!G70="",'Resultat &amp; tabell'!I70=""),0,IF(G70='Resultat &amp; tabell'!G70,2,0)+IF(I70='Resultat &amp; tabell'!I70,2,0)+IF(J70='Resultat &amp; tabell'!J70,3,0))</f>
        <v>0</v>
      </c>
      <c r="L70" s="2">
        <v>4</v>
      </c>
      <c r="M70" s="21" t="str">
        <f>VLOOKUP(L70,AT67:AY70,2,FALSE)</f>
        <v>Korea</v>
      </c>
      <c r="N70" s="18">
        <f>VLOOKUP(M70,$AU$67:$AY$70,2,FALSE)</f>
        <v>0</v>
      </c>
      <c r="O70" s="18">
        <f>VLOOKUP(M70,$AU$67:$AY$70,3,FALSE)</f>
        <v>0</v>
      </c>
      <c r="P70" s="18">
        <f>VLOOKUP(M70,$AU$67:$AY$70,4,FALSE)</f>
        <v>0</v>
      </c>
      <c r="Q70" s="19">
        <f>VLOOKUP(M70,$AU$67:$AY$70,5,FALSE)</f>
        <v>0</v>
      </c>
      <c r="Z70" s="88" t="str">
        <f t="shared" si="143"/>
        <v>Portugal</v>
      </c>
      <c r="AA70" s="89">
        <f t="shared" si="136"/>
        <v>0</v>
      </c>
      <c r="AB70" s="89">
        <f t="shared" si="137"/>
        <v>0</v>
      </c>
      <c r="AC70" s="89">
        <f t="shared" si="138"/>
        <v>0</v>
      </c>
      <c r="AD70" s="88" t="str">
        <f t="shared" si="144"/>
        <v>Uruguay</v>
      </c>
      <c r="AE70" s="89">
        <f t="shared" si="139"/>
        <v>0</v>
      </c>
      <c r="AF70" s="73">
        <f t="shared" si="140"/>
        <v>0</v>
      </c>
      <c r="AG70" s="73">
        <f t="shared" si="141"/>
        <v>0</v>
      </c>
      <c r="AI70" s="72">
        <f>RANK($AJ70,$AJ$67:$AJ$71,1)+COUNTIF($AJ$67:$AJ70,$AJ70)-1</f>
        <v>4</v>
      </c>
      <c r="AJ70" s="72">
        <f>AK70+AL70+AM70</f>
        <v>1</v>
      </c>
      <c r="AK70" s="72">
        <f t="shared" si="145"/>
        <v>0</v>
      </c>
      <c r="AL70" s="72">
        <f t="shared" si="146"/>
        <v>0</v>
      </c>
      <c r="AM70" s="72">
        <f t="shared" si="147"/>
        <v>1</v>
      </c>
      <c r="AN70" s="88" t="s">
        <v>162</v>
      </c>
      <c r="AO70" s="72">
        <f t="shared" si="148"/>
        <v>0</v>
      </c>
      <c r="AP70" s="72">
        <f t="shared" si="149"/>
        <v>0</v>
      </c>
      <c r="AQ70" s="72">
        <f t="shared" si="150"/>
        <v>0</v>
      </c>
      <c r="AR70" s="72">
        <f t="shared" si="151"/>
        <v>0</v>
      </c>
      <c r="AT70" s="72">
        <v>4</v>
      </c>
      <c r="AU70" s="72" t="str">
        <f t="shared" si="152"/>
        <v>Korea</v>
      </c>
      <c r="AV70" s="72">
        <f t="shared" si="153"/>
        <v>0</v>
      </c>
      <c r="AW70" s="72">
        <f t="shared" si="154"/>
        <v>0</v>
      </c>
      <c r="AX70" s="72">
        <f t="shared" si="155"/>
        <v>0</v>
      </c>
      <c r="AY70" s="72">
        <f t="shared" si="156"/>
        <v>0</v>
      </c>
      <c r="AZ70" s="177"/>
      <c r="BA70" s="182"/>
      <c r="BB70" s="177"/>
      <c r="BC70" s="181"/>
      <c r="BD70" s="177"/>
      <c r="BE70" s="181"/>
      <c r="BF70" s="181"/>
      <c r="BG70" s="181"/>
      <c r="BH70" s="181"/>
      <c r="BI70" s="178"/>
      <c r="BK70" s="45"/>
      <c r="BL70" s="49"/>
      <c r="BM70" s="49"/>
      <c r="BN70" s="49"/>
      <c r="BO70" s="49"/>
    </row>
    <row r="71" spans="2:68" ht="14.25" customHeight="1" x14ac:dyDescent="0.25">
      <c r="B71" s="16">
        <v>45</v>
      </c>
      <c r="C71" s="95">
        <v>44897</v>
      </c>
      <c r="D71" s="84" t="s">
        <v>65</v>
      </c>
      <c r="E71" s="85" t="s">
        <v>6</v>
      </c>
      <c r="F71" s="86" t="s">
        <v>50</v>
      </c>
      <c r="G71" s="62"/>
      <c r="H71" s="87" t="s">
        <v>6</v>
      </c>
      <c r="I71" s="62"/>
      <c r="J71" s="64" t="str">
        <f t="shared" si="142"/>
        <v/>
      </c>
      <c r="K71" s="63">
        <f>IF(OR(G71="",I71="",'Resultat &amp; tabell'!G71="",'Resultat &amp; tabell'!I71=""),0,IF(G71='Resultat &amp; tabell'!G71,2,0)+IF(I71='Resultat &amp; tabell'!I71,2,0)+IF(J71='Resultat &amp; tabell'!J71,3,0))</f>
        <v>0</v>
      </c>
      <c r="M71" s="187">
        <f>COUNTBLANK(G67:G72)+COUNTBLANK(I67:I72)</f>
        <v>12</v>
      </c>
      <c r="N71" s="117"/>
      <c r="P71" s="117"/>
      <c r="R71" s="117"/>
      <c r="Z71" s="88" t="str">
        <f t="shared" si="143"/>
        <v>Ghana</v>
      </c>
      <c r="AA71" s="89">
        <f t="shared" si="136"/>
        <v>0</v>
      </c>
      <c r="AB71" s="89">
        <f t="shared" si="137"/>
        <v>0</v>
      </c>
      <c r="AC71" s="89">
        <f t="shared" si="138"/>
        <v>0</v>
      </c>
      <c r="AD71" s="88" t="str">
        <f t="shared" si="144"/>
        <v>Uruguay</v>
      </c>
      <c r="AE71" s="89">
        <f t="shared" si="139"/>
        <v>0</v>
      </c>
      <c r="AF71" s="73">
        <f t="shared" si="140"/>
        <v>0</v>
      </c>
      <c r="AG71" s="73">
        <f t="shared" si="141"/>
        <v>0</v>
      </c>
      <c r="AZ71" s="177"/>
      <c r="BA71" s="182"/>
      <c r="BB71" s="177"/>
      <c r="BC71" s="181"/>
      <c r="BD71" s="177"/>
      <c r="BE71" s="181"/>
      <c r="BF71" s="181"/>
      <c r="BG71" s="181"/>
      <c r="BH71" s="181"/>
      <c r="BI71" s="178"/>
      <c r="BN71" s="79"/>
      <c r="BO71" s="79"/>
    </row>
    <row r="72" spans="2:68" ht="14.25" customHeight="1" x14ac:dyDescent="0.25">
      <c r="B72" s="16">
        <v>46</v>
      </c>
      <c r="C72" s="95">
        <v>44897</v>
      </c>
      <c r="D72" s="84" t="s">
        <v>162</v>
      </c>
      <c r="E72" s="85" t="s">
        <v>6</v>
      </c>
      <c r="F72" s="86" t="s">
        <v>64</v>
      </c>
      <c r="G72" s="62"/>
      <c r="H72" s="87" t="s">
        <v>6</v>
      </c>
      <c r="I72" s="62"/>
      <c r="J72" s="64" t="str">
        <f t="shared" si="142"/>
        <v/>
      </c>
      <c r="K72" s="63">
        <f>IF(OR(G72="",I72="",'Resultat &amp; tabell'!G72="",'Resultat &amp; tabell'!I72=""),0,IF(G72='Resultat &amp; tabell'!G72,2,0)+IF(I72='Resultat &amp; tabell'!I72,2,0)+IF(J72='Resultat &amp; tabell'!J72,3,0))</f>
        <v>0</v>
      </c>
      <c r="Z72" s="88" t="str">
        <f t="shared" si="143"/>
        <v>Korea</v>
      </c>
      <c r="AA72" s="89">
        <f t="shared" si="136"/>
        <v>0</v>
      </c>
      <c r="AB72" s="89">
        <f t="shared" si="137"/>
        <v>0</v>
      </c>
      <c r="AC72" s="89">
        <f t="shared" si="138"/>
        <v>0</v>
      </c>
      <c r="AD72" s="88" t="str">
        <f t="shared" si="144"/>
        <v>Portugal</v>
      </c>
      <c r="AE72" s="89">
        <f t="shared" si="139"/>
        <v>0</v>
      </c>
      <c r="AF72" s="73">
        <f t="shared" si="140"/>
        <v>0</v>
      </c>
      <c r="AG72" s="73">
        <f t="shared" si="141"/>
        <v>0</v>
      </c>
      <c r="AZ72" s="177"/>
      <c r="BA72" s="182"/>
      <c r="BB72" s="177"/>
      <c r="BC72" s="181"/>
      <c r="BD72" s="177"/>
      <c r="BE72" s="181"/>
      <c r="BF72" s="181"/>
      <c r="BG72" s="181"/>
      <c r="BH72" s="181"/>
      <c r="BI72" s="178"/>
    </row>
    <row r="73" spans="2:68" ht="14.25" customHeight="1" x14ac:dyDescent="0.25">
      <c r="J73" s="24"/>
      <c r="K73" s="24"/>
      <c r="BI73" s="103"/>
    </row>
    <row r="74" spans="2:68" ht="14.25" customHeight="1" x14ac:dyDescent="0.25">
      <c r="B74" s="68" t="s">
        <v>1</v>
      </c>
      <c r="C74" s="38"/>
      <c r="D74" s="5"/>
      <c r="J74" s="24"/>
      <c r="K74" s="24"/>
      <c r="Z74" s="73"/>
      <c r="AZ74" s="75" t="s">
        <v>1</v>
      </c>
      <c r="BA74" s="41"/>
      <c r="BB74" s="78"/>
      <c r="BI74" s="103"/>
      <c r="BK74" s="126" t="s">
        <v>1</v>
      </c>
      <c r="BL74" s="127"/>
      <c r="BM74" s="128"/>
      <c r="BN74" s="129"/>
      <c r="BO74" s="129"/>
    </row>
    <row r="75" spans="2:68" ht="14.25" customHeight="1" x14ac:dyDescent="0.25">
      <c r="B75" s="119" t="s">
        <v>2</v>
      </c>
      <c r="C75" s="112" t="s">
        <v>3</v>
      </c>
      <c r="D75" s="207"/>
      <c r="E75" s="208"/>
      <c r="F75" s="209"/>
      <c r="G75" s="208" t="s">
        <v>4</v>
      </c>
      <c r="H75" s="208"/>
      <c r="I75" s="208"/>
      <c r="J75" s="28" t="s">
        <v>69</v>
      </c>
      <c r="K75" s="7" t="s">
        <v>75</v>
      </c>
      <c r="M75" s="39" t="s">
        <v>111</v>
      </c>
      <c r="N75" s="39"/>
      <c r="O75" s="40"/>
      <c r="P75" s="225" t="s">
        <v>127</v>
      </c>
      <c r="Q75" s="226"/>
      <c r="R75" s="226"/>
      <c r="S75" s="227"/>
      <c r="W75" s="23"/>
      <c r="X75" s="124"/>
      <c r="Z75" s="5"/>
      <c r="AA75" s="108" t="s">
        <v>2</v>
      </c>
      <c r="AB75" s="108"/>
      <c r="AC75" s="108"/>
      <c r="AD75" s="108"/>
      <c r="AE75" s="108"/>
      <c r="AF75" s="72"/>
      <c r="AH75" s="73"/>
      <c r="AZ75" s="121" t="s">
        <v>2</v>
      </c>
      <c r="BA75" s="113" t="s">
        <v>3</v>
      </c>
      <c r="BB75" s="165" t="s">
        <v>2</v>
      </c>
      <c r="BC75" s="166"/>
      <c r="BD75" s="167"/>
      <c r="BE75" s="166" t="s">
        <v>4</v>
      </c>
      <c r="BF75" s="166"/>
      <c r="BG75" s="166"/>
      <c r="BH75" s="166" t="s">
        <v>69</v>
      </c>
      <c r="BI75" s="28" t="s">
        <v>75</v>
      </c>
      <c r="BK75" s="78"/>
      <c r="BL75" s="1" t="s">
        <v>90</v>
      </c>
      <c r="BM75" s="74" t="s">
        <v>89</v>
      </c>
      <c r="BN75" s="74" t="s">
        <v>91</v>
      </c>
      <c r="BO75" s="74" t="s">
        <v>92</v>
      </c>
      <c r="BP75" s="74" t="s">
        <v>75</v>
      </c>
    </row>
    <row r="76" spans="2:68" ht="14.25" customHeight="1" x14ac:dyDescent="0.25">
      <c r="B76" s="98">
        <v>50</v>
      </c>
      <c r="C76" s="130">
        <v>44898</v>
      </c>
      <c r="D76" s="131" t="str">
        <f>IF($M$26=0,$M$22,"Vinnare grupp C")</f>
        <v>Vinnare grupp C</v>
      </c>
      <c r="E76" s="132" t="s">
        <v>6</v>
      </c>
      <c r="F76" s="133" t="str">
        <f>IF($M$35=0,$M$32,"Tvåa grupp D")</f>
        <v>Tvåa grupp D</v>
      </c>
      <c r="G76" s="62"/>
      <c r="H76" s="87" t="s">
        <v>6</v>
      </c>
      <c r="I76" s="62"/>
      <c r="J76" s="64" t="str">
        <f t="shared" ref="J76:J83" si="157">IF(OR(ISBLANK(G76),ISBLANK(I76)),"",IF(G76&gt;I76,1,IF(G76&lt;I76,2,"X")))</f>
        <v/>
      </c>
      <c r="K76" s="63">
        <f>IF(OR(G76="",I76="",'Resultat &amp; tabell'!G76="",'Resultat &amp; tabell'!I76=""),0,IF(G76='Resultat &amp; tabell'!G76,2,0)+IF(I76='Resultat &amp; tabell'!I76,2,0)+IF(J76='Resultat &amp; tabell'!J76,3,0))</f>
        <v>0</v>
      </c>
      <c r="M76" s="65"/>
      <c r="N76" s="66" t="str">
        <f>IF(OR(ISBLANK(D76),ISBLANK(F76),J76="",M76=""),"",IF(OR(AND(J76=1,M76=D76),AND(J76=2,M76=F76),AND(J76="X",OR(M76=D76,M76=F76))),"","Ej OK"))</f>
        <v/>
      </c>
      <c r="O76" s="40" t="b">
        <f>M76=D76</f>
        <v>0</v>
      </c>
      <c r="P76" s="228">
        <f>BP92</f>
        <v>0</v>
      </c>
      <c r="Q76" s="229"/>
      <c r="R76" s="229"/>
      <c r="S76" s="230"/>
      <c r="W76" s="23"/>
      <c r="X76" s="124"/>
      <c r="Z76" s="5"/>
      <c r="AA76" s="89" t="s">
        <v>8</v>
      </c>
      <c r="AD76" s="89"/>
      <c r="AE76" s="88" t="s">
        <v>9</v>
      </c>
      <c r="AF76" s="72"/>
      <c r="AH76" s="73"/>
      <c r="AZ76" s="99">
        <v>49</v>
      </c>
      <c r="BA76" s="100">
        <v>41818</v>
      </c>
      <c r="BB76" s="91" t="str">
        <f t="shared" ref="BB76:BB83" si="158">D76</f>
        <v>Vinnare grupp C</v>
      </c>
      <c r="BC76" s="134" t="s">
        <v>6</v>
      </c>
      <c r="BD76" s="91" t="str">
        <f t="shared" ref="BD76:BD83" si="159">F76</f>
        <v>Tvåa grupp D</v>
      </c>
      <c r="BE76" s="92">
        <f>IF(G76='Resultat &amp; tabell'!$G76,2,0)</f>
        <v>2</v>
      </c>
      <c r="BF76" s="135" t="s">
        <v>6</v>
      </c>
      <c r="BG76" s="92">
        <f>IF(I76='Resultat &amp; tabell'!$I76,2,0)</f>
        <v>2</v>
      </c>
      <c r="BH76" s="92">
        <f>IF(J76='Resultat &amp; tabell'!$J76,1,0)</f>
        <v>1</v>
      </c>
      <c r="BI76" s="93">
        <f t="shared" ref="BI76:BI83" si="160">SUM(BE76+BG76+BH76)</f>
        <v>5</v>
      </c>
      <c r="BK76" s="78"/>
      <c r="BL76" s="45" t="str">
        <f t="shared" ref="BL76:BL83" si="161">BB76</f>
        <v>Vinnare grupp C</v>
      </c>
      <c r="BM76" s="45" t="str">
        <f>'Resultat &amp; tabell'!D76</f>
        <v>Vinnare grupp C</v>
      </c>
      <c r="BN76" s="125" t="str">
        <f t="shared" ref="BN76:BN91" si="162">VLOOKUP(BL76,$BM$76:$BM$91,1,FALSE)</f>
        <v>Vinnare grupp C</v>
      </c>
      <c r="BO76" s="136" t="str">
        <f>BN76</f>
        <v>Vinnare grupp C</v>
      </c>
      <c r="BP76" s="78">
        <f t="shared" ref="BP76:BP91" si="163">IFERROR(IF(BN76=BO76,2,0),0)</f>
        <v>2</v>
      </c>
    </row>
    <row r="77" spans="2:68" ht="14.25" customHeight="1" x14ac:dyDescent="0.25">
      <c r="B77" s="16">
        <v>49</v>
      </c>
      <c r="C77" s="95">
        <v>44898</v>
      </c>
      <c r="D77" s="131" t="str">
        <f>IF($M$8=0,$M$4,"Vinnare grupp A")</f>
        <v>Vinnare grupp A</v>
      </c>
      <c r="E77" s="132" t="s">
        <v>6</v>
      </c>
      <c r="F77" s="133" t="str">
        <f>IF($M$17=0,$M$14,"Tvåa grupp B")</f>
        <v>Tvåa grupp B</v>
      </c>
      <c r="G77" s="62"/>
      <c r="H77" s="87" t="s">
        <v>6</v>
      </c>
      <c r="I77" s="62"/>
      <c r="J77" s="64" t="str">
        <f t="shared" si="157"/>
        <v/>
      </c>
      <c r="K77" s="63">
        <f>IF(OR(G77="",I77="",'Resultat &amp; tabell'!G77="",'Resultat &amp; tabell'!I77=""),0,IF(G77='Resultat &amp; tabell'!G77,2,0)+IF(I77='Resultat &amp; tabell'!I77,2,0)+IF(J77='Resultat &amp; tabell'!J77,3,0))</f>
        <v>0</v>
      </c>
      <c r="M77" s="65"/>
      <c r="N77" s="66" t="str">
        <f t="shared" ref="N77:N83" si="164">IF(OR(ISBLANK(D77),ISBLANK(F77),J77="",M77=""),"",IF(OR(AND(J77=1,M77=D77),AND(J77=2,M77=F77),AND(J77="X",OR(M77=D77,M77=F77))),"","Ej OK"))</f>
        <v/>
      </c>
      <c r="O77" s="40"/>
      <c r="P77" s="41"/>
      <c r="Q77" s="2"/>
      <c r="R77" s="2"/>
      <c r="S77" s="5"/>
      <c r="W77" s="23"/>
      <c r="X77" s="124"/>
      <c r="Z77" s="5"/>
      <c r="AA77" s="89" t="s">
        <v>12</v>
      </c>
      <c r="AD77" s="89"/>
      <c r="AE77" s="88" t="s">
        <v>13</v>
      </c>
      <c r="AF77" s="72"/>
      <c r="AH77" s="73"/>
      <c r="AZ77" s="90">
        <v>50</v>
      </c>
      <c r="BA77" s="96">
        <v>41818.708333333336</v>
      </c>
      <c r="BB77" s="91" t="str">
        <f t="shared" si="158"/>
        <v>Vinnare grupp A</v>
      </c>
      <c r="BC77" s="134" t="s">
        <v>6</v>
      </c>
      <c r="BD77" s="91" t="str">
        <f t="shared" si="159"/>
        <v>Tvåa grupp B</v>
      </c>
      <c r="BE77" s="92">
        <f>IF(G77='Resultat &amp; tabell'!$G77,2,0)</f>
        <v>2</v>
      </c>
      <c r="BF77" s="64" t="s">
        <v>6</v>
      </c>
      <c r="BG77" s="92">
        <f>IF(I77='Resultat &amp; tabell'!$I77,2,0)</f>
        <v>2</v>
      </c>
      <c r="BH77" s="92">
        <f>IF(J77='Resultat &amp; tabell'!$J77,1,0)</f>
        <v>1</v>
      </c>
      <c r="BI77" s="93">
        <f t="shared" si="160"/>
        <v>5</v>
      </c>
      <c r="BK77" s="78"/>
      <c r="BL77" s="45" t="str">
        <f t="shared" si="161"/>
        <v>Vinnare grupp A</v>
      </c>
      <c r="BM77" s="45" t="str">
        <f>'Resultat &amp; tabell'!D77</f>
        <v>Vinnare grupp A</v>
      </c>
      <c r="BN77" s="125" t="str">
        <f t="shared" si="162"/>
        <v>Vinnare grupp A</v>
      </c>
      <c r="BO77" s="136" t="str">
        <f t="shared" ref="BO77:BO91" si="165">BN77</f>
        <v>Vinnare grupp A</v>
      </c>
      <c r="BP77" s="78">
        <f t="shared" si="163"/>
        <v>2</v>
      </c>
    </row>
    <row r="78" spans="2:68" ht="14.25" customHeight="1" x14ac:dyDescent="0.25">
      <c r="B78" s="16">
        <v>51</v>
      </c>
      <c r="C78" s="95">
        <v>44899</v>
      </c>
      <c r="D78" s="131" t="str">
        <f>IF($M$17=0,$M$13,"Vinnare grupp B")</f>
        <v>Vinnare grupp B</v>
      </c>
      <c r="E78" s="132" t="s">
        <v>6</v>
      </c>
      <c r="F78" s="133" t="str">
        <f>IF($M$8=0,$M$5,"Tvåa grupp A")</f>
        <v>Tvåa grupp A</v>
      </c>
      <c r="G78" s="62"/>
      <c r="H78" s="87" t="s">
        <v>6</v>
      </c>
      <c r="I78" s="62"/>
      <c r="J78" s="64" t="str">
        <f t="shared" si="157"/>
        <v/>
      </c>
      <c r="K78" s="63">
        <f>IF(OR(G78="",I78="",'Resultat &amp; tabell'!G78="",'Resultat &amp; tabell'!I78=""),0,IF(G78='Resultat &amp; tabell'!G78,2,0)+IF(I78='Resultat &amp; tabell'!I78,2,0)+IF(J78='Resultat &amp; tabell'!J78,3,0))</f>
        <v>0</v>
      </c>
      <c r="M78" s="65"/>
      <c r="N78" s="66" t="str">
        <f t="shared" si="164"/>
        <v/>
      </c>
      <c r="O78" s="40"/>
      <c r="P78" s="41"/>
      <c r="Q78" s="2"/>
      <c r="R78" s="2"/>
      <c r="S78" s="5"/>
      <c r="W78" s="23"/>
      <c r="X78" s="124"/>
      <c r="Z78" s="5"/>
      <c r="AA78" s="89" t="s">
        <v>14</v>
      </c>
      <c r="AD78" s="89"/>
      <c r="AE78" s="88" t="s">
        <v>15</v>
      </c>
      <c r="AF78" s="72"/>
      <c r="AH78" s="73"/>
      <c r="AZ78" s="90">
        <v>51</v>
      </c>
      <c r="BA78" s="96">
        <v>41819.541666666664</v>
      </c>
      <c r="BB78" s="91" t="str">
        <f t="shared" si="158"/>
        <v>Vinnare grupp B</v>
      </c>
      <c r="BC78" s="134" t="s">
        <v>6</v>
      </c>
      <c r="BD78" s="91" t="str">
        <f t="shared" si="159"/>
        <v>Tvåa grupp A</v>
      </c>
      <c r="BE78" s="92">
        <f>IF(G78='Resultat &amp; tabell'!$G78,2,0)</f>
        <v>2</v>
      </c>
      <c r="BF78" s="64" t="s">
        <v>6</v>
      </c>
      <c r="BG78" s="92">
        <f>IF(I78='Resultat &amp; tabell'!$I78,2,0)</f>
        <v>2</v>
      </c>
      <c r="BH78" s="92">
        <f>IF(J78='Resultat &amp; tabell'!$J78,1,0)</f>
        <v>1</v>
      </c>
      <c r="BI78" s="93">
        <f t="shared" si="160"/>
        <v>5</v>
      </c>
      <c r="BK78" s="78"/>
      <c r="BL78" s="45" t="str">
        <f t="shared" si="161"/>
        <v>Vinnare grupp B</v>
      </c>
      <c r="BM78" s="45" t="str">
        <f>'Resultat &amp; tabell'!D78</f>
        <v>Vinnare grupp B</v>
      </c>
      <c r="BN78" s="125" t="str">
        <f t="shared" si="162"/>
        <v>Vinnare grupp B</v>
      </c>
      <c r="BO78" s="136" t="str">
        <f t="shared" si="165"/>
        <v>Vinnare grupp B</v>
      </c>
      <c r="BP78" s="78">
        <f t="shared" si="163"/>
        <v>2</v>
      </c>
    </row>
    <row r="79" spans="2:68" ht="14.25" customHeight="1" x14ac:dyDescent="0.25">
      <c r="B79" s="16">
        <v>52</v>
      </c>
      <c r="C79" s="95">
        <v>44899</v>
      </c>
      <c r="D79" s="131" t="str">
        <f>IF($M$35=0,$M$31,"Vinnare grupp D")</f>
        <v>Vinnare grupp D</v>
      </c>
      <c r="E79" s="132" t="s">
        <v>6</v>
      </c>
      <c r="F79" s="133" t="str">
        <f>IF($M$26=0,$M$23,"Tvåa grupp C")</f>
        <v>Tvåa grupp C</v>
      </c>
      <c r="G79" s="62"/>
      <c r="H79" s="87" t="s">
        <v>6</v>
      </c>
      <c r="I79" s="62"/>
      <c r="J79" s="64" t="str">
        <f t="shared" si="157"/>
        <v/>
      </c>
      <c r="K79" s="63">
        <f>IF(OR(G79="",I79="",'Resultat &amp; tabell'!G79="",'Resultat &amp; tabell'!I79=""),0,IF(G79='Resultat &amp; tabell'!G79,2,0)+IF(I79='Resultat &amp; tabell'!I79,2,0)+IF(J79='Resultat &amp; tabell'!J79,3,0))</f>
        <v>0</v>
      </c>
      <c r="M79" s="65"/>
      <c r="N79" s="66" t="str">
        <f t="shared" si="164"/>
        <v/>
      </c>
      <c r="O79" s="40"/>
      <c r="P79" s="41"/>
      <c r="Q79" s="2"/>
      <c r="R79" s="2"/>
      <c r="S79" s="5"/>
      <c r="W79" s="23"/>
      <c r="X79" s="124"/>
      <c r="Z79" s="5"/>
      <c r="AA79" s="89" t="s">
        <v>16</v>
      </c>
      <c r="AD79" s="89"/>
      <c r="AE79" s="88" t="s">
        <v>17</v>
      </c>
      <c r="AF79" s="72"/>
      <c r="AH79" s="73"/>
      <c r="AZ79" s="90">
        <v>52</v>
      </c>
      <c r="BA79" s="96">
        <v>41819.708333333336</v>
      </c>
      <c r="BB79" s="91" t="str">
        <f t="shared" si="158"/>
        <v>Vinnare grupp D</v>
      </c>
      <c r="BC79" s="134" t="s">
        <v>6</v>
      </c>
      <c r="BD79" s="91" t="str">
        <f t="shared" si="159"/>
        <v>Tvåa grupp C</v>
      </c>
      <c r="BE79" s="92">
        <f>IF(G79='Resultat &amp; tabell'!$G79,2,0)</f>
        <v>2</v>
      </c>
      <c r="BF79" s="64" t="s">
        <v>6</v>
      </c>
      <c r="BG79" s="92">
        <f>IF(I79='Resultat &amp; tabell'!$I79,2,0)</f>
        <v>2</v>
      </c>
      <c r="BH79" s="92">
        <f>IF(J79='Resultat &amp; tabell'!$J79,1,0)</f>
        <v>1</v>
      </c>
      <c r="BI79" s="93">
        <f t="shared" si="160"/>
        <v>5</v>
      </c>
      <c r="BK79" s="78"/>
      <c r="BL79" s="45" t="str">
        <f t="shared" si="161"/>
        <v>Vinnare grupp D</v>
      </c>
      <c r="BM79" s="45" t="str">
        <f>'Resultat &amp; tabell'!D79</f>
        <v>Vinnare grupp D</v>
      </c>
      <c r="BN79" s="125" t="str">
        <f t="shared" si="162"/>
        <v>Vinnare grupp D</v>
      </c>
      <c r="BO79" s="136" t="str">
        <f t="shared" si="165"/>
        <v>Vinnare grupp D</v>
      </c>
      <c r="BP79" s="78">
        <f t="shared" si="163"/>
        <v>2</v>
      </c>
    </row>
    <row r="80" spans="2:68" ht="14.25" customHeight="1" x14ac:dyDescent="0.25">
      <c r="B80" s="137">
        <v>53</v>
      </c>
      <c r="C80" s="138">
        <v>44900</v>
      </c>
      <c r="D80" s="131" t="str">
        <f>IF($M$44=0,$M$40,"Vinnare grupp E")</f>
        <v>Vinnare grupp E</v>
      </c>
      <c r="E80" s="132" t="s">
        <v>6</v>
      </c>
      <c r="F80" s="133" t="str">
        <f>IF($M$53=0,$M$50,"Tvåa grupp F")</f>
        <v>Tvåa grupp F</v>
      </c>
      <c r="G80" s="62"/>
      <c r="H80" s="87" t="s">
        <v>6</v>
      </c>
      <c r="I80" s="62"/>
      <c r="J80" s="64" t="str">
        <f t="shared" si="157"/>
        <v/>
      </c>
      <c r="K80" s="63">
        <f>IF(OR(G80="",I80="",'Resultat &amp; tabell'!G80="",'Resultat &amp; tabell'!I80=""),0,IF(G80='Resultat &amp; tabell'!G80,2,0)+IF(I80='Resultat &amp; tabell'!I80,2,0)+IF(J80='Resultat &amp; tabell'!J80,3,0))</f>
        <v>0</v>
      </c>
      <c r="M80" s="65"/>
      <c r="N80" s="66" t="str">
        <f t="shared" si="164"/>
        <v/>
      </c>
      <c r="O80" s="40"/>
      <c r="P80" s="41"/>
      <c r="Q80" s="2"/>
      <c r="R80" s="2"/>
      <c r="S80" s="5"/>
      <c r="W80" s="23"/>
      <c r="X80" s="124"/>
      <c r="Z80" s="5"/>
      <c r="AA80" s="89" t="s">
        <v>18</v>
      </c>
      <c r="AD80" s="89"/>
      <c r="AE80" s="88" t="s">
        <v>19</v>
      </c>
      <c r="AF80" s="72"/>
      <c r="AH80" s="73"/>
      <c r="AZ80" s="139">
        <v>53</v>
      </c>
      <c r="BA80" s="140">
        <v>41820.541666666664</v>
      </c>
      <c r="BB80" s="91" t="str">
        <f t="shared" si="158"/>
        <v>Vinnare grupp E</v>
      </c>
      <c r="BC80" s="134" t="s">
        <v>6</v>
      </c>
      <c r="BD80" s="91" t="str">
        <f t="shared" si="159"/>
        <v>Tvåa grupp F</v>
      </c>
      <c r="BE80" s="92">
        <f>IF(G80='Resultat &amp; tabell'!$G80,2,0)</f>
        <v>2</v>
      </c>
      <c r="BF80" s="64" t="s">
        <v>6</v>
      </c>
      <c r="BG80" s="92">
        <f>IF(I80='Resultat &amp; tabell'!$I80,2,0)</f>
        <v>2</v>
      </c>
      <c r="BH80" s="92">
        <f>IF(J80='Resultat &amp; tabell'!$J80,1,0)</f>
        <v>1</v>
      </c>
      <c r="BI80" s="93">
        <f t="shared" si="160"/>
        <v>5</v>
      </c>
      <c r="BK80" s="78"/>
      <c r="BL80" s="45" t="str">
        <f t="shared" si="161"/>
        <v>Vinnare grupp E</v>
      </c>
      <c r="BM80" s="45" t="str">
        <f>'Resultat &amp; tabell'!D80</f>
        <v>Vinnare grupp E</v>
      </c>
      <c r="BN80" s="125" t="str">
        <f t="shared" si="162"/>
        <v>Vinnare grupp E</v>
      </c>
      <c r="BO80" s="136" t="str">
        <f t="shared" si="165"/>
        <v>Vinnare grupp E</v>
      </c>
      <c r="BP80" s="78">
        <f t="shared" si="163"/>
        <v>2</v>
      </c>
    </row>
    <row r="81" spans="2:68" ht="14.25" customHeight="1" x14ac:dyDescent="0.25">
      <c r="B81" s="16">
        <v>54</v>
      </c>
      <c r="C81" s="138">
        <v>44900</v>
      </c>
      <c r="D81" s="131" t="str">
        <f>IF($M$62=0,$M$58,"Vinnare grupp G")</f>
        <v>Vinnare grupp G</v>
      </c>
      <c r="E81" s="132" t="s">
        <v>6</v>
      </c>
      <c r="F81" s="133" t="str">
        <f>IF($M$71=0,$M$68,"Tvåa grupp H")</f>
        <v>Tvåa grupp H</v>
      </c>
      <c r="G81" s="62"/>
      <c r="H81" s="87" t="s">
        <v>6</v>
      </c>
      <c r="I81" s="62"/>
      <c r="J81" s="64" t="str">
        <f t="shared" si="157"/>
        <v/>
      </c>
      <c r="K81" s="63">
        <f>IF(OR(G81="",I81="",'Resultat &amp; tabell'!G81="",'Resultat &amp; tabell'!I81=""),0,IF(G81='Resultat &amp; tabell'!G81,2,0)+IF(I81='Resultat &amp; tabell'!I81,2,0)+IF(J81='Resultat &amp; tabell'!J81,3,0))</f>
        <v>0</v>
      </c>
      <c r="M81" s="65"/>
      <c r="N81" s="66" t="str">
        <f t="shared" si="164"/>
        <v/>
      </c>
      <c r="O81" s="40"/>
      <c r="P81" s="41"/>
      <c r="Q81" s="2"/>
      <c r="R81" s="2"/>
      <c r="S81" s="5"/>
      <c r="W81" s="23"/>
      <c r="X81" s="124"/>
      <c r="Z81" s="5"/>
      <c r="AA81" s="89" t="s">
        <v>20</v>
      </c>
      <c r="AD81" s="89"/>
      <c r="AE81" s="88" t="s">
        <v>21</v>
      </c>
      <c r="AF81" s="72"/>
      <c r="AH81" s="73"/>
      <c r="AZ81" s="90">
        <v>54</v>
      </c>
      <c r="BA81" s="96">
        <v>41820.708333333336</v>
      </c>
      <c r="BB81" s="91" t="str">
        <f t="shared" si="158"/>
        <v>Vinnare grupp G</v>
      </c>
      <c r="BC81" s="134" t="s">
        <v>6</v>
      </c>
      <c r="BD81" s="91" t="str">
        <f t="shared" si="159"/>
        <v>Tvåa grupp H</v>
      </c>
      <c r="BE81" s="92">
        <f>IF(G81='Resultat &amp; tabell'!$G81,2,0)</f>
        <v>2</v>
      </c>
      <c r="BF81" s="64" t="s">
        <v>6</v>
      </c>
      <c r="BG81" s="92">
        <f>IF(I81='Resultat &amp; tabell'!$I81,2,0)</f>
        <v>2</v>
      </c>
      <c r="BH81" s="92">
        <f>IF(J81='Resultat &amp; tabell'!$J81,1,0)</f>
        <v>1</v>
      </c>
      <c r="BI81" s="93">
        <f t="shared" si="160"/>
        <v>5</v>
      </c>
      <c r="BK81" s="78"/>
      <c r="BL81" s="45" t="str">
        <f t="shared" si="161"/>
        <v>Vinnare grupp G</v>
      </c>
      <c r="BM81" s="45" t="str">
        <f>'Resultat &amp; tabell'!D81</f>
        <v>Vinnare grupp G</v>
      </c>
      <c r="BN81" s="125" t="str">
        <f t="shared" si="162"/>
        <v>Vinnare grupp G</v>
      </c>
      <c r="BO81" s="136" t="str">
        <f t="shared" si="165"/>
        <v>Vinnare grupp G</v>
      </c>
      <c r="BP81" s="78">
        <f t="shared" si="163"/>
        <v>2</v>
      </c>
    </row>
    <row r="82" spans="2:68" ht="14.25" customHeight="1" x14ac:dyDescent="0.25">
      <c r="B82" s="16">
        <v>55</v>
      </c>
      <c r="C82" s="95">
        <v>44901</v>
      </c>
      <c r="D82" s="131" t="str">
        <f>IF($M$53=0,$M$49,"Vinnare grupp F")</f>
        <v>Vinnare grupp F</v>
      </c>
      <c r="E82" s="132" t="s">
        <v>6</v>
      </c>
      <c r="F82" s="133" t="str">
        <f>IF($M$44=0,$M$41,"Tvåa grupp E")</f>
        <v>Tvåa grupp E</v>
      </c>
      <c r="G82" s="62"/>
      <c r="H82" s="87" t="s">
        <v>6</v>
      </c>
      <c r="I82" s="62"/>
      <c r="J82" s="64" t="str">
        <f t="shared" si="157"/>
        <v/>
      </c>
      <c r="K82" s="63">
        <f>IF(OR(G82="",I82="",'Resultat &amp; tabell'!G82="",'Resultat &amp; tabell'!I82=""),0,IF(G82='Resultat &amp; tabell'!G82,2,0)+IF(I82='Resultat &amp; tabell'!I82,2,0)+IF(J82='Resultat &amp; tabell'!J82,3,0))</f>
        <v>0</v>
      </c>
      <c r="M82" s="65"/>
      <c r="N82" s="66" t="str">
        <f t="shared" si="164"/>
        <v/>
      </c>
      <c r="O82" s="40"/>
      <c r="P82" s="41"/>
      <c r="Q82" s="2"/>
      <c r="R82" s="2"/>
      <c r="S82" s="5"/>
      <c r="W82" s="23"/>
      <c r="X82" s="124"/>
      <c r="Z82" s="5"/>
      <c r="AA82" s="89" t="s">
        <v>22</v>
      </c>
      <c r="AD82" s="89"/>
      <c r="AE82" s="88" t="s">
        <v>23</v>
      </c>
      <c r="AF82" s="72"/>
      <c r="AH82" s="73"/>
      <c r="AZ82" s="90">
        <v>55</v>
      </c>
      <c r="BA82" s="96">
        <v>41821</v>
      </c>
      <c r="BB82" s="91" t="str">
        <f t="shared" si="158"/>
        <v>Vinnare grupp F</v>
      </c>
      <c r="BC82" s="134" t="s">
        <v>6</v>
      </c>
      <c r="BD82" s="91" t="str">
        <f t="shared" si="159"/>
        <v>Tvåa grupp E</v>
      </c>
      <c r="BE82" s="92">
        <f>IF(G82='Resultat &amp; tabell'!$G82,2,0)</f>
        <v>2</v>
      </c>
      <c r="BF82" s="49" t="s">
        <v>6</v>
      </c>
      <c r="BG82" s="92">
        <f>IF(I82='Resultat &amp; tabell'!$I82,2,0)</f>
        <v>2</v>
      </c>
      <c r="BH82" s="92">
        <f>IF(J82='Resultat &amp; tabell'!$J82,1,0)</f>
        <v>1</v>
      </c>
      <c r="BI82" s="93">
        <f t="shared" si="160"/>
        <v>5</v>
      </c>
      <c r="BK82" s="78"/>
      <c r="BL82" s="45" t="str">
        <f t="shared" si="161"/>
        <v>Vinnare grupp F</v>
      </c>
      <c r="BM82" s="45" t="str">
        <f>'Resultat &amp; tabell'!D82</f>
        <v>Vinnare grupp F</v>
      </c>
      <c r="BN82" s="125" t="str">
        <f t="shared" si="162"/>
        <v>Vinnare grupp F</v>
      </c>
      <c r="BO82" s="136" t="str">
        <f t="shared" si="165"/>
        <v>Vinnare grupp F</v>
      </c>
      <c r="BP82" s="78">
        <f t="shared" si="163"/>
        <v>2</v>
      </c>
    </row>
    <row r="83" spans="2:68" ht="14.25" customHeight="1" x14ac:dyDescent="0.25">
      <c r="B83" s="16">
        <v>56</v>
      </c>
      <c r="C83" s="95">
        <v>44901</v>
      </c>
      <c r="D83" s="131" t="str">
        <f>IF($M$71=0,$M$67,"Vinnare grupp H")</f>
        <v>Vinnare grupp H</v>
      </c>
      <c r="E83" s="132" t="s">
        <v>6</v>
      </c>
      <c r="F83" s="133" t="str">
        <f>IF($M$62=0,$M$59,"Tvåa grupp G")</f>
        <v>Tvåa grupp G</v>
      </c>
      <c r="G83" s="62"/>
      <c r="H83" s="87" t="s">
        <v>6</v>
      </c>
      <c r="I83" s="62"/>
      <c r="J83" s="64" t="str">
        <f t="shared" si="157"/>
        <v/>
      </c>
      <c r="K83" s="63">
        <f>IF(OR(G83="",I83="",'Resultat &amp; tabell'!G83="",'Resultat &amp; tabell'!I83=""),0,IF(G83='Resultat &amp; tabell'!G83,2,0)+IF(I83='Resultat &amp; tabell'!I83,2,0)+IF(J83='Resultat &amp; tabell'!J83,3,0))</f>
        <v>0</v>
      </c>
      <c r="M83" s="65"/>
      <c r="N83" s="66" t="str">
        <f t="shared" si="164"/>
        <v/>
      </c>
      <c r="O83" s="40"/>
      <c r="P83" s="41"/>
      <c r="Q83" s="2"/>
      <c r="R83" s="2"/>
      <c r="S83" s="5"/>
      <c r="W83" s="23"/>
      <c r="X83" s="124"/>
      <c r="Z83" s="5"/>
      <c r="AA83" s="89" t="s">
        <v>25</v>
      </c>
      <c r="AD83" s="89"/>
      <c r="AE83" s="88" t="s">
        <v>26</v>
      </c>
      <c r="AF83" s="72"/>
      <c r="AH83" s="73"/>
      <c r="AZ83" s="90">
        <v>56</v>
      </c>
      <c r="BA83" s="96">
        <v>41821</v>
      </c>
      <c r="BB83" s="91" t="str">
        <f t="shared" si="158"/>
        <v>Vinnare grupp H</v>
      </c>
      <c r="BC83" s="134" t="s">
        <v>6</v>
      </c>
      <c r="BD83" s="91" t="str">
        <f t="shared" si="159"/>
        <v>Tvåa grupp G</v>
      </c>
      <c r="BE83" s="92">
        <f>IF(G83='Resultat &amp; tabell'!$G83,2,0)</f>
        <v>2</v>
      </c>
      <c r="BF83" s="64" t="s">
        <v>6</v>
      </c>
      <c r="BG83" s="92">
        <f>IF(I83='Resultat &amp; tabell'!$I83,2,0)</f>
        <v>2</v>
      </c>
      <c r="BH83" s="92">
        <f>IF(J83='Resultat &amp; tabell'!$J83,1,0)</f>
        <v>1</v>
      </c>
      <c r="BI83" s="93">
        <f t="shared" si="160"/>
        <v>5</v>
      </c>
      <c r="BK83" s="78"/>
      <c r="BL83" s="45" t="str">
        <f t="shared" si="161"/>
        <v>Vinnare grupp H</v>
      </c>
      <c r="BM83" s="45" t="str">
        <f>'Resultat &amp; tabell'!D83</f>
        <v>Vinnare grupp H</v>
      </c>
      <c r="BN83" s="125" t="str">
        <f t="shared" si="162"/>
        <v>Vinnare grupp H</v>
      </c>
      <c r="BO83" s="136" t="str">
        <f t="shared" si="165"/>
        <v>Vinnare grupp H</v>
      </c>
      <c r="BP83" s="78">
        <f t="shared" si="163"/>
        <v>2</v>
      </c>
    </row>
    <row r="84" spans="2:68" ht="14.25" customHeight="1" x14ac:dyDescent="0.25">
      <c r="B84" s="4"/>
      <c r="C84" s="141"/>
      <c r="D84" s="4"/>
      <c r="E84" s="4"/>
      <c r="F84" s="4"/>
      <c r="G84" s="32"/>
      <c r="H84" s="32"/>
      <c r="I84" s="32"/>
      <c r="J84" s="24"/>
      <c r="K84" s="24"/>
      <c r="M84" s="42"/>
      <c r="N84" s="42"/>
      <c r="O84" s="40"/>
      <c r="P84" s="41"/>
      <c r="Q84" s="2"/>
      <c r="R84" s="2"/>
      <c r="S84" s="5"/>
      <c r="W84" s="23"/>
      <c r="X84" s="124"/>
      <c r="Z84" s="5"/>
      <c r="AD84" s="89"/>
      <c r="AE84" s="88"/>
      <c r="AF84" s="72"/>
      <c r="AH84" s="73"/>
      <c r="AZ84" s="79"/>
      <c r="BA84" s="142"/>
      <c r="BB84" s="79"/>
      <c r="BC84" s="79"/>
      <c r="BD84" s="79"/>
      <c r="BE84" s="49"/>
      <c r="BF84" s="49"/>
      <c r="BG84" s="49"/>
      <c r="BH84" s="49"/>
      <c r="BI84" s="103"/>
      <c r="BK84" s="78"/>
      <c r="BL84" s="45" t="str">
        <f t="shared" ref="BL84:BL91" si="166">BD76</f>
        <v>Tvåa grupp D</v>
      </c>
      <c r="BM84" s="45" t="str">
        <f>'Resultat &amp; tabell'!F76</f>
        <v>Tvåa grupp D</v>
      </c>
      <c r="BN84" s="125" t="str">
        <f t="shared" si="162"/>
        <v>Tvåa grupp D</v>
      </c>
      <c r="BO84" s="136" t="str">
        <f t="shared" si="165"/>
        <v>Tvåa grupp D</v>
      </c>
      <c r="BP84" s="78">
        <f t="shared" si="163"/>
        <v>2</v>
      </c>
    </row>
    <row r="85" spans="2:68" ht="14.25" customHeight="1" x14ac:dyDescent="0.25">
      <c r="B85" s="68" t="s">
        <v>28</v>
      </c>
      <c r="C85" s="38"/>
      <c r="D85" s="5"/>
      <c r="J85" s="24"/>
      <c r="K85" s="24"/>
      <c r="M85" s="42"/>
      <c r="N85" s="42"/>
      <c r="O85" s="40"/>
      <c r="P85" s="41"/>
      <c r="Q85" s="2"/>
      <c r="R85" s="2"/>
      <c r="S85" s="5"/>
      <c r="W85" s="23"/>
      <c r="X85" s="124"/>
      <c r="Z85" s="5"/>
      <c r="AA85" s="73"/>
      <c r="AD85" s="89"/>
      <c r="AE85" s="88"/>
      <c r="AF85" s="72"/>
      <c r="AH85" s="73"/>
      <c r="AZ85" s="75" t="s">
        <v>28</v>
      </c>
      <c r="BA85" s="41"/>
      <c r="BB85" s="78"/>
      <c r="BI85" s="103"/>
      <c r="BK85" s="78"/>
      <c r="BL85" s="45" t="str">
        <f t="shared" si="166"/>
        <v>Tvåa grupp B</v>
      </c>
      <c r="BM85" s="45" t="str">
        <f>'Resultat &amp; tabell'!F77</f>
        <v>Tvåa grupp B</v>
      </c>
      <c r="BN85" s="125" t="str">
        <f t="shared" si="162"/>
        <v>Tvåa grupp B</v>
      </c>
      <c r="BO85" s="136" t="str">
        <f t="shared" si="165"/>
        <v>Tvåa grupp B</v>
      </c>
      <c r="BP85" s="78">
        <f t="shared" si="163"/>
        <v>2</v>
      </c>
    </row>
    <row r="86" spans="2:68" ht="14.25" customHeight="1" x14ac:dyDescent="0.25">
      <c r="B86" s="119" t="s">
        <v>2</v>
      </c>
      <c r="C86" s="112" t="s">
        <v>3</v>
      </c>
      <c r="D86" s="207" t="s">
        <v>2</v>
      </c>
      <c r="E86" s="208"/>
      <c r="F86" s="209"/>
      <c r="G86" s="208" t="s">
        <v>4</v>
      </c>
      <c r="H86" s="208"/>
      <c r="I86" s="208"/>
      <c r="J86" s="28" t="s">
        <v>69</v>
      </c>
      <c r="K86" s="7" t="s">
        <v>75</v>
      </c>
      <c r="M86" s="43" t="s">
        <v>110</v>
      </c>
      <c r="N86" s="43"/>
      <c r="O86" s="40"/>
      <c r="P86" s="225" t="s">
        <v>128</v>
      </c>
      <c r="Q86" s="226"/>
      <c r="R86" s="226"/>
      <c r="S86" s="227"/>
      <c r="W86" s="23"/>
      <c r="X86" s="124"/>
      <c r="Z86" s="5"/>
      <c r="AA86" s="108" t="s">
        <v>2</v>
      </c>
      <c r="AB86" s="108"/>
      <c r="AC86" s="108"/>
      <c r="AD86" s="108"/>
      <c r="AE86" s="108"/>
      <c r="AF86" s="72"/>
      <c r="AH86" s="73"/>
      <c r="AZ86" s="121" t="s">
        <v>2</v>
      </c>
      <c r="BA86" s="113" t="s">
        <v>3</v>
      </c>
      <c r="BB86" s="165" t="s">
        <v>2</v>
      </c>
      <c r="BC86" s="166"/>
      <c r="BD86" s="167"/>
      <c r="BE86" s="166" t="s">
        <v>4</v>
      </c>
      <c r="BF86" s="166"/>
      <c r="BG86" s="166"/>
      <c r="BH86" s="166" t="s">
        <v>69</v>
      </c>
      <c r="BI86" s="28" t="s">
        <v>75</v>
      </c>
      <c r="BK86" s="78"/>
      <c r="BL86" s="45" t="str">
        <f t="shared" si="166"/>
        <v>Tvåa grupp A</v>
      </c>
      <c r="BM86" s="45" t="str">
        <f>'Resultat &amp; tabell'!F78</f>
        <v>Tvåa grupp A</v>
      </c>
      <c r="BN86" s="125" t="str">
        <f t="shared" si="162"/>
        <v>Tvåa grupp A</v>
      </c>
      <c r="BO86" s="136" t="str">
        <f t="shared" si="165"/>
        <v>Tvåa grupp A</v>
      </c>
      <c r="BP86" s="78">
        <f t="shared" si="163"/>
        <v>2</v>
      </c>
    </row>
    <row r="87" spans="2:68" ht="14.25" customHeight="1" x14ac:dyDescent="0.25">
      <c r="B87" s="16">
        <v>57</v>
      </c>
      <c r="C87" s="95">
        <v>44904</v>
      </c>
      <c r="D87" s="131" t="str">
        <f>IF(M77="","Vinnare match 49",M77)</f>
        <v>Vinnare match 49</v>
      </c>
      <c r="E87" s="132" t="s">
        <v>6</v>
      </c>
      <c r="F87" s="133" t="str">
        <f>IF(M76="","Vinnare match 50",M76)</f>
        <v>Vinnare match 50</v>
      </c>
      <c r="G87" s="62"/>
      <c r="H87" s="87" t="s">
        <v>6</v>
      </c>
      <c r="I87" s="62"/>
      <c r="J87" s="64" t="str">
        <f t="shared" ref="J87:J90" si="167">IF(OR(ISBLANK(G87),ISBLANK(I87)),"",IF(G87&gt;I87,1,IF(G87&lt;I87,2,"X")))</f>
        <v/>
      </c>
      <c r="K87" s="63">
        <f>IF(OR(G87="",I87="",'Resultat &amp; tabell'!G87="",'Resultat &amp; tabell'!I87=""),0,IF(G87='Resultat &amp; tabell'!G87,2,0)+IF(I87='Resultat &amp; tabell'!I87,2,0)+IF(J87='Resultat &amp; tabell'!J87,3,0))</f>
        <v>0</v>
      </c>
      <c r="M87" s="65"/>
      <c r="N87" s="66" t="str">
        <f>IF(OR(ISBLANK(D87),ISBLANK(F87),J87="",M87=""),"",IF(OR(AND(J87=1,M87=D87),AND(J87=2,M87=F87),AND(J87="X",OR(M87=D87,M87=F87))),"","Ej OK"))</f>
        <v/>
      </c>
      <c r="O87" s="40"/>
      <c r="P87" s="228">
        <f>BP103</f>
        <v>0</v>
      </c>
      <c r="Q87" s="229"/>
      <c r="R87" s="229"/>
      <c r="S87" s="230"/>
      <c r="W87" s="23"/>
      <c r="X87" s="124"/>
      <c r="Z87" s="5"/>
      <c r="AA87" s="89" t="s">
        <v>30</v>
      </c>
      <c r="AD87" s="89"/>
      <c r="AE87" s="88" t="s">
        <v>31</v>
      </c>
      <c r="AF87" s="72"/>
      <c r="AH87" s="73"/>
      <c r="AZ87" s="90">
        <v>57</v>
      </c>
      <c r="BA87" s="96">
        <v>41824</v>
      </c>
      <c r="BB87" s="91" t="str">
        <f>D87</f>
        <v>Vinnare match 49</v>
      </c>
      <c r="BC87" s="134" t="s">
        <v>6</v>
      </c>
      <c r="BD87" s="91" t="str">
        <f>F87</f>
        <v>Vinnare match 50</v>
      </c>
      <c r="BE87" s="92">
        <f>IF(G87='Resultat &amp; tabell'!$G87,2,0)</f>
        <v>2</v>
      </c>
      <c r="BF87" s="64" t="s">
        <v>6</v>
      </c>
      <c r="BG87" s="92">
        <f>IF(I87='Resultat &amp; tabell'!$I87,2,0)</f>
        <v>2</v>
      </c>
      <c r="BH87" s="92">
        <f>IF(J87='Resultat &amp; tabell'!$J87,1,0)</f>
        <v>1</v>
      </c>
      <c r="BI87" s="93">
        <f t="shared" ref="BI87:BI90" si="168">SUM(BE87+BG87+BH87)</f>
        <v>5</v>
      </c>
      <c r="BK87" s="78"/>
      <c r="BL87" s="45" t="str">
        <f t="shared" si="166"/>
        <v>Tvåa grupp C</v>
      </c>
      <c r="BM87" s="45" t="str">
        <f>'Resultat &amp; tabell'!F79</f>
        <v>Tvåa grupp C</v>
      </c>
      <c r="BN87" s="125" t="str">
        <f t="shared" si="162"/>
        <v>Tvåa grupp C</v>
      </c>
      <c r="BO87" s="136" t="str">
        <f t="shared" si="165"/>
        <v>Tvåa grupp C</v>
      </c>
      <c r="BP87" s="78">
        <f t="shared" si="163"/>
        <v>2</v>
      </c>
    </row>
    <row r="88" spans="2:68" ht="14.25" customHeight="1" x14ac:dyDescent="0.25">
      <c r="B88" s="16">
        <v>58</v>
      </c>
      <c r="C88" s="95">
        <v>44904</v>
      </c>
      <c r="D88" s="131" t="str">
        <f>IF(M80="","Vinnare match 53",M80)</f>
        <v>Vinnare match 53</v>
      </c>
      <c r="E88" s="132" t="s">
        <v>6</v>
      </c>
      <c r="F88" s="133" t="str">
        <f>IF(M81="","Vinnare match 54",M81)</f>
        <v>Vinnare match 54</v>
      </c>
      <c r="G88" s="62"/>
      <c r="H88" s="87" t="s">
        <v>6</v>
      </c>
      <c r="I88" s="62"/>
      <c r="J88" s="64" t="str">
        <f t="shared" si="167"/>
        <v/>
      </c>
      <c r="K88" s="63">
        <f>IF(OR(G88="",I88="",'Resultat &amp; tabell'!G88="",'Resultat &amp; tabell'!I88=""),0,IF(G88='Resultat &amp; tabell'!G88,2,0)+IF(I88='Resultat &amp; tabell'!I88,2,0)+IF(J88='Resultat &amp; tabell'!J88,3,0))</f>
        <v>0</v>
      </c>
      <c r="M88" s="65"/>
      <c r="N88" s="66" t="str">
        <f t="shared" ref="N88:N90" si="169">IF(OR(ISBLANK(D88),ISBLANK(F88),J88="",M88=""),"",IF(OR(AND(J88=1,M88=D88),AND(J88=2,M88=F88),AND(J88="X",OR(M88=D88,M88=F88))),"","Ej OK"))</f>
        <v/>
      </c>
      <c r="O88" s="40"/>
      <c r="P88" s="44"/>
      <c r="Q88" s="2"/>
      <c r="R88" s="2"/>
      <c r="S88" s="5"/>
      <c r="W88" s="23"/>
      <c r="X88" s="124"/>
      <c r="Z88" s="5"/>
      <c r="AA88" s="89" t="s">
        <v>32</v>
      </c>
      <c r="AD88" s="89"/>
      <c r="AE88" s="88" t="s">
        <v>33</v>
      </c>
      <c r="AF88" s="72"/>
      <c r="AH88" s="73"/>
      <c r="AZ88" s="90">
        <v>58</v>
      </c>
      <c r="BA88" s="96">
        <v>41824</v>
      </c>
      <c r="BB88" s="91" t="str">
        <f>D88</f>
        <v>Vinnare match 53</v>
      </c>
      <c r="BC88" s="134" t="s">
        <v>6</v>
      </c>
      <c r="BD88" s="91" t="str">
        <f>F88</f>
        <v>Vinnare match 54</v>
      </c>
      <c r="BE88" s="92">
        <f>IF(G88='Resultat &amp; tabell'!$G88,2,0)</f>
        <v>2</v>
      </c>
      <c r="BF88" s="64" t="s">
        <v>6</v>
      </c>
      <c r="BG88" s="92">
        <f>IF(I88='Resultat &amp; tabell'!$I88,2,0)</f>
        <v>2</v>
      </c>
      <c r="BH88" s="92">
        <f>IF(J88='Resultat &amp; tabell'!$J88,1,0)</f>
        <v>1</v>
      </c>
      <c r="BI88" s="93">
        <f t="shared" si="168"/>
        <v>5</v>
      </c>
      <c r="BK88" s="78"/>
      <c r="BL88" s="45" t="str">
        <f t="shared" si="166"/>
        <v>Tvåa grupp F</v>
      </c>
      <c r="BM88" s="45" t="str">
        <f>'Resultat &amp; tabell'!F80</f>
        <v>Tvåa grupp F</v>
      </c>
      <c r="BN88" s="125" t="str">
        <f t="shared" si="162"/>
        <v>Tvåa grupp F</v>
      </c>
      <c r="BO88" s="136" t="str">
        <f t="shared" si="165"/>
        <v>Tvåa grupp F</v>
      </c>
      <c r="BP88" s="78">
        <f t="shared" si="163"/>
        <v>2</v>
      </c>
    </row>
    <row r="89" spans="2:68" ht="14.25" customHeight="1" x14ac:dyDescent="0.25">
      <c r="B89" s="16">
        <v>59</v>
      </c>
      <c r="C89" s="95">
        <v>44905</v>
      </c>
      <c r="D89" s="131" t="str">
        <f>IF(M78="","Vinnare match 51",M78)</f>
        <v>Vinnare match 51</v>
      </c>
      <c r="E89" s="132" t="s">
        <v>6</v>
      </c>
      <c r="F89" s="133" t="str">
        <f>IF(M79="","Vinnare match 52",M79)</f>
        <v>Vinnare match 52</v>
      </c>
      <c r="G89" s="62"/>
      <c r="H89" s="87" t="s">
        <v>6</v>
      </c>
      <c r="I89" s="62"/>
      <c r="J89" s="64" t="str">
        <f t="shared" si="167"/>
        <v/>
      </c>
      <c r="K89" s="63">
        <f>IF(OR(G89="",I89="",'Resultat &amp; tabell'!G89="",'Resultat &amp; tabell'!I89=""),0,IF(G89='Resultat &amp; tabell'!G89,2,0)+IF(I89='Resultat &amp; tabell'!I89,2,0)+IF(J89='Resultat &amp; tabell'!J89,3,0))</f>
        <v>0</v>
      </c>
      <c r="M89" s="65"/>
      <c r="N89" s="66" t="str">
        <f t="shared" si="169"/>
        <v/>
      </c>
      <c r="O89" s="40"/>
      <c r="P89" s="44"/>
      <c r="Q89" s="2"/>
      <c r="R89" s="2"/>
      <c r="S89" s="5"/>
      <c r="W89" s="23"/>
      <c r="X89" s="124"/>
      <c r="Z89" s="5"/>
      <c r="AA89" s="89" t="s">
        <v>34</v>
      </c>
      <c r="AD89" s="89"/>
      <c r="AE89" s="88" t="s">
        <v>35</v>
      </c>
      <c r="AF89" s="72"/>
      <c r="AH89" s="73"/>
      <c r="AZ89" s="90">
        <v>59</v>
      </c>
      <c r="BA89" s="96">
        <v>41825</v>
      </c>
      <c r="BB89" s="91" t="str">
        <f>D89</f>
        <v>Vinnare match 51</v>
      </c>
      <c r="BC89" s="134" t="s">
        <v>6</v>
      </c>
      <c r="BD89" s="91" t="str">
        <f>F89</f>
        <v>Vinnare match 52</v>
      </c>
      <c r="BE89" s="92">
        <f>IF(G89='Resultat &amp; tabell'!$G89,2,0)</f>
        <v>2</v>
      </c>
      <c r="BF89" s="64" t="s">
        <v>6</v>
      </c>
      <c r="BG89" s="92">
        <f>IF(I89='Resultat &amp; tabell'!$I89,2,0)</f>
        <v>2</v>
      </c>
      <c r="BH89" s="92">
        <f>IF(J89='Resultat &amp; tabell'!$J89,1,0)</f>
        <v>1</v>
      </c>
      <c r="BI89" s="93">
        <f t="shared" si="168"/>
        <v>5</v>
      </c>
      <c r="BK89" s="78"/>
      <c r="BL89" s="45" t="str">
        <f t="shared" si="166"/>
        <v>Tvåa grupp H</v>
      </c>
      <c r="BM89" s="45" t="str">
        <f>'Resultat &amp; tabell'!F81</f>
        <v>Tvåa grupp H</v>
      </c>
      <c r="BN89" s="125" t="str">
        <f t="shared" si="162"/>
        <v>Tvåa grupp H</v>
      </c>
      <c r="BO89" s="136" t="str">
        <f t="shared" si="165"/>
        <v>Tvåa grupp H</v>
      </c>
      <c r="BP89" s="78">
        <f t="shared" si="163"/>
        <v>2</v>
      </c>
    </row>
    <row r="90" spans="2:68" ht="14.25" customHeight="1" x14ac:dyDescent="0.25">
      <c r="B90" s="16">
        <v>60</v>
      </c>
      <c r="C90" s="95">
        <v>44905</v>
      </c>
      <c r="D90" s="131" t="str">
        <f>IF(M82="","Vinnare match 55",M82)</f>
        <v>Vinnare match 55</v>
      </c>
      <c r="E90" s="132" t="s">
        <v>6</v>
      </c>
      <c r="F90" s="133" t="str">
        <f>IF(M83="","Vinnare match 56",M83)</f>
        <v>Vinnare match 56</v>
      </c>
      <c r="G90" s="62"/>
      <c r="H90" s="87" t="s">
        <v>6</v>
      </c>
      <c r="I90" s="62"/>
      <c r="J90" s="64" t="str">
        <f t="shared" si="167"/>
        <v/>
      </c>
      <c r="K90" s="63">
        <f>IF(OR(G90="",I90="",'Resultat &amp; tabell'!G90="",'Resultat &amp; tabell'!I90=""),0,IF(G90='Resultat &amp; tabell'!G90,2,0)+IF(I90='Resultat &amp; tabell'!I90,2,0)+IF(J90='Resultat &amp; tabell'!J90,3,0))</f>
        <v>0</v>
      </c>
      <c r="M90" s="65"/>
      <c r="N90" s="66" t="str">
        <f t="shared" si="169"/>
        <v/>
      </c>
      <c r="O90" s="40"/>
      <c r="P90" s="44"/>
      <c r="Q90" s="2"/>
      <c r="R90" s="2"/>
      <c r="S90" s="5"/>
      <c r="W90" s="23"/>
      <c r="X90" s="124"/>
      <c r="Z90" s="5"/>
      <c r="AA90" s="89" t="s">
        <v>36</v>
      </c>
      <c r="AD90" s="89"/>
      <c r="AE90" s="88" t="s">
        <v>37</v>
      </c>
      <c r="AF90" s="72"/>
      <c r="AH90" s="73"/>
      <c r="AZ90" s="90">
        <v>60</v>
      </c>
      <c r="BA90" s="96">
        <v>41825</v>
      </c>
      <c r="BB90" s="91" t="str">
        <f>D90</f>
        <v>Vinnare match 55</v>
      </c>
      <c r="BC90" s="134" t="s">
        <v>6</v>
      </c>
      <c r="BD90" s="91" t="str">
        <f>F90</f>
        <v>Vinnare match 56</v>
      </c>
      <c r="BE90" s="92">
        <f>IF(G90='Resultat &amp; tabell'!$G90,2,0)</f>
        <v>2</v>
      </c>
      <c r="BF90" s="64" t="s">
        <v>6</v>
      </c>
      <c r="BG90" s="92">
        <f>IF(I90='Resultat &amp; tabell'!$I90,2,0)</f>
        <v>2</v>
      </c>
      <c r="BH90" s="92">
        <f>IF(J90='Resultat &amp; tabell'!$J90,1,0)</f>
        <v>1</v>
      </c>
      <c r="BI90" s="93">
        <f t="shared" si="168"/>
        <v>5</v>
      </c>
      <c r="BK90" s="78"/>
      <c r="BL90" s="45" t="str">
        <f t="shared" si="166"/>
        <v>Tvåa grupp E</v>
      </c>
      <c r="BM90" s="45" t="str">
        <f>'Resultat &amp; tabell'!F82</f>
        <v>Tvåa grupp E</v>
      </c>
      <c r="BN90" s="125" t="str">
        <f t="shared" si="162"/>
        <v>Tvåa grupp E</v>
      </c>
      <c r="BO90" s="136" t="str">
        <f t="shared" si="165"/>
        <v>Tvåa grupp E</v>
      </c>
      <c r="BP90" s="78">
        <f t="shared" si="163"/>
        <v>2</v>
      </c>
    </row>
    <row r="91" spans="2:68" ht="14.25" customHeight="1" x14ac:dyDescent="0.25">
      <c r="B91" s="37"/>
      <c r="C91" s="38"/>
      <c r="D91" s="5"/>
      <c r="J91" s="24"/>
      <c r="K91" s="24"/>
      <c r="M91" s="42"/>
      <c r="N91" s="42"/>
      <c r="O91" s="40"/>
      <c r="P91" s="44"/>
      <c r="Q91" s="2"/>
      <c r="R91" s="2"/>
      <c r="S91" s="5"/>
      <c r="W91" s="23"/>
      <c r="X91" s="124"/>
      <c r="Z91" s="5"/>
      <c r="AA91" s="73"/>
      <c r="AD91" s="89"/>
      <c r="AE91" s="88"/>
      <c r="AF91" s="72"/>
      <c r="AH91" s="73"/>
      <c r="AZ91" s="42"/>
      <c r="BA91" s="41"/>
      <c r="BB91" s="78"/>
      <c r="BI91" s="103"/>
      <c r="BK91" s="78"/>
      <c r="BL91" s="45" t="str">
        <f t="shared" si="166"/>
        <v>Tvåa grupp G</v>
      </c>
      <c r="BM91" s="45" t="str">
        <f>'Resultat &amp; tabell'!F83</f>
        <v>Tvåa grupp G</v>
      </c>
      <c r="BN91" s="125" t="str">
        <f t="shared" si="162"/>
        <v>Tvåa grupp G</v>
      </c>
      <c r="BO91" s="136" t="str">
        <f t="shared" si="165"/>
        <v>Tvåa grupp G</v>
      </c>
      <c r="BP91" s="78">
        <f t="shared" si="163"/>
        <v>2</v>
      </c>
    </row>
    <row r="92" spans="2:68" ht="14.25" customHeight="1" x14ac:dyDescent="0.25">
      <c r="B92" s="68" t="s">
        <v>39</v>
      </c>
      <c r="C92" s="38"/>
      <c r="D92" s="5"/>
      <c r="J92" s="24"/>
      <c r="K92" s="24"/>
      <c r="M92" s="42"/>
      <c r="N92" s="42"/>
      <c r="O92" s="40"/>
      <c r="P92" s="44"/>
      <c r="Q92" s="2"/>
      <c r="R92" s="2"/>
      <c r="S92" s="5"/>
      <c r="W92" s="23"/>
      <c r="X92" s="124"/>
      <c r="Z92" s="5"/>
      <c r="AA92" s="73"/>
      <c r="AD92" s="89"/>
      <c r="AE92" s="88"/>
      <c r="AF92" s="72"/>
      <c r="AH92" s="73"/>
      <c r="AZ92" s="75" t="s">
        <v>39</v>
      </c>
      <c r="BA92" s="41"/>
      <c r="BB92" s="78"/>
      <c r="BI92" s="103"/>
      <c r="BK92" s="78"/>
      <c r="BM92" s="45"/>
      <c r="BN92" s="125"/>
      <c r="BO92" s="6" t="s">
        <v>93</v>
      </c>
      <c r="BP92" s="110">
        <f>IF(COUNTIFS('Resultat &amp; tabell'!J3:J72,"")=14,SUM(BP76:BP91),0)</f>
        <v>0</v>
      </c>
    </row>
    <row r="93" spans="2:68" ht="14.25" customHeight="1" x14ac:dyDescent="0.25">
      <c r="B93" s="119" t="s">
        <v>2</v>
      </c>
      <c r="C93" s="112" t="s">
        <v>3</v>
      </c>
      <c r="D93" s="207" t="s">
        <v>2</v>
      </c>
      <c r="E93" s="208"/>
      <c r="F93" s="209"/>
      <c r="G93" s="208" t="s">
        <v>4</v>
      </c>
      <c r="H93" s="208"/>
      <c r="I93" s="208"/>
      <c r="J93" s="28" t="s">
        <v>69</v>
      </c>
      <c r="K93" s="7" t="s">
        <v>75</v>
      </c>
      <c r="M93" s="43" t="s">
        <v>109</v>
      </c>
      <c r="N93" s="43"/>
      <c r="O93" s="40" t="s">
        <v>86</v>
      </c>
      <c r="P93" s="225" t="s">
        <v>129</v>
      </c>
      <c r="Q93" s="226"/>
      <c r="R93" s="226"/>
      <c r="S93" s="227"/>
      <c r="W93" s="23"/>
      <c r="X93" s="124"/>
      <c r="Z93" s="5"/>
      <c r="AA93" s="108" t="s">
        <v>2</v>
      </c>
      <c r="AB93" s="108"/>
      <c r="AC93" s="108"/>
      <c r="AD93" s="108"/>
      <c r="AE93" s="108"/>
      <c r="AF93" s="72"/>
      <c r="AH93" s="73"/>
      <c r="AZ93" s="121" t="s">
        <v>2</v>
      </c>
      <c r="BA93" s="113" t="s">
        <v>3</v>
      </c>
      <c r="BB93" s="165" t="s">
        <v>2</v>
      </c>
      <c r="BC93" s="166"/>
      <c r="BD93" s="167"/>
      <c r="BE93" s="166" t="s">
        <v>4</v>
      </c>
      <c r="BF93" s="166"/>
      <c r="BG93" s="166"/>
      <c r="BH93" s="166" t="s">
        <v>69</v>
      </c>
      <c r="BI93" s="28" t="s">
        <v>75</v>
      </c>
      <c r="BK93" s="78"/>
      <c r="BL93" s="126" t="s">
        <v>28</v>
      </c>
      <c r="BM93" s="127"/>
      <c r="BN93" s="128"/>
      <c r="BO93" s="129"/>
      <c r="BP93" s="129"/>
    </row>
    <row r="94" spans="2:68" ht="14.25" customHeight="1" x14ac:dyDescent="0.25">
      <c r="B94" s="16">
        <v>61</v>
      </c>
      <c r="C94" s="95">
        <v>44908</v>
      </c>
      <c r="D94" s="131" t="str">
        <f>IF(M87="","Vinnare match 57",M87)</f>
        <v>Vinnare match 57</v>
      </c>
      <c r="E94" s="132" t="s">
        <v>6</v>
      </c>
      <c r="F94" s="133" t="str">
        <f>IF(M88="","Vinnare match 58",M88)</f>
        <v>Vinnare match 58</v>
      </c>
      <c r="G94" s="62"/>
      <c r="H94" s="87" t="s">
        <v>6</v>
      </c>
      <c r="I94" s="62"/>
      <c r="J94" s="64" t="str">
        <f t="shared" ref="J94:J95" si="170">IF(OR(ISBLANK(G94),ISBLANK(I94)),"",IF(G94&gt;I94,1,IF(G94&lt;I94,2,"X")))</f>
        <v/>
      </c>
      <c r="K94" s="63">
        <f>IF(OR(G94="",I94="",'Resultat &amp; tabell'!G94="",'Resultat &amp; tabell'!I94=""),0,IF(G94='Resultat &amp; tabell'!G94,2,0)+IF(I94='Resultat &amp; tabell'!I94,2,0)+IF(J94='Resultat &amp; tabell'!J94,3,0))</f>
        <v>0</v>
      </c>
      <c r="M94" s="65"/>
      <c r="N94" s="66" t="str">
        <f>IF(OR(ISBLANK(D94),ISBLANK(F94),J94="",M94=""),"",IF(OR(AND(J94=1,M94=D94),AND(J94=2,M94=F94),AND(J94="X",OR(M94=D94,M94=F94))),"","Ej OK"))</f>
        <v/>
      </c>
      <c r="O94" s="37"/>
      <c r="P94" s="228">
        <f>BP110</f>
        <v>0</v>
      </c>
      <c r="Q94" s="229"/>
      <c r="R94" s="229"/>
      <c r="S94" s="230"/>
      <c r="T94" s="40" t="str">
        <f>IF(M94=D94,F94,D94)</f>
        <v>Vinnare match 57</v>
      </c>
      <c r="W94" s="23"/>
      <c r="X94" s="124"/>
      <c r="Z94" s="5"/>
      <c r="AA94" s="89" t="s">
        <v>40</v>
      </c>
      <c r="AD94" s="89"/>
      <c r="AE94" s="88" t="s">
        <v>41</v>
      </c>
      <c r="AF94" s="72"/>
      <c r="AH94" s="73"/>
      <c r="AZ94" s="90">
        <v>61</v>
      </c>
      <c r="BA94" s="96">
        <v>41828.708333333336</v>
      </c>
      <c r="BB94" s="91" t="str">
        <f>D94</f>
        <v>Vinnare match 57</v>
      </c>
      <c r="BC94" s="134" t="s">
        <v>6</v>
      </c>
      <c r="BD94" s="91" t="str">
        <f>F94</f>
        <v>Vinnare match 58</v>
      </c>
      <c r="BE94" s="92">
        <f>IF(G94='Resultat &amp; tabell'!$G94,2,0)</f>
        <v>2</v>
      </c>
      <c r="BF94" s="64" t="s">
        <v>6</v>
      </c>
      <c r="BG94" s="92">
        <f>IF(I94='Resultat &amp; tabell'!$I94,2,0)</f>
        <v>2</v>
      </c>
      <c r="BH94" s="92">
        <f>IF(J94='Resultat &amp; tabell'!$J94,1,0)</f>
        <v>1</v>
      </c>
      <c r="BI94" s="93">
        <f t="shared" ref="BI94:BI95" si="171">SUM(BE94+BG94+BH94)</f>
        <v>5</v>
      </c>
      <c r="BK94" s="78"/>
      <c r="BL94" s="1" t="s">
        <v>90</v>
      </c>
      <c r="BM94" s="74" t="s">
        <v>89</v>
      </c>
      <c r="BN94" s="74" t="s">
        <v>91</v>
      </c>
      <c r="BO94" s="74" t="s">
        <v>92</v>
      </c>
      <c r="BP94" s="74" t="s">
        <v>75</v>
      </c>
    </row>
    <row r="95" spans="2:68" ht="14.25" customHeight="1" x14ac:dyDescent="0.25">
      <c r="B95" s="16">
        <v>62</v>
      </c>
      <c r="C95" s="95">
        <v>44909</v>
      </c>
      <c r="D95" s="131" t="str">
        <f>IF(M89="","Vinnare match 59",M89)</f>
        <v>Vinnare match 59</v>
      </c>
      <c r="E95" s="132" t="s">
        <v>6</v>
      </c>
      <c r="F95" s="133" t="str">
        <f>IF(M90="","Vinnare match 60",M90)</f>
        <v>Vinnare match 60</v>
      </c>
      <c r="G95" s="62"/>
      <c r="H95" s="87" t="s">
        <v>6</v>
      </c>
      <c r="I95" s="62"/>
      <c r="J95" s="64" t="str">
        <f t="shared" si="170"/>
        <v/>
      </c>
      <c r="K95" s="63">
        <f>IF(OR(G95="",I95="",'Resultat &amp; tabell'!G95="",'Resultat &amp; tabell'!I95=""),0,IF(G95='Resultat &amp; tabell'!G95,2,0)+IF(I95='Resultat &amp; tabell'!I95,2,0)+IF(J95='Resultat &amp; tabell'!J95,3,0))</f>
        <v>0</v>
      </c>
      <c r="M95" s="65"/>
      <c r="N95" s="66" t="str">
        <f>IF(OR(ISBLANK(D95),ISBLANK(F95),J95="",M95=""),"",IF(OR(AND(J95=1,M95=D95),AND(J95=2,M95=F95),AND(J95="X",OR(M95=D95,M95=F95))),"","Ej OK"))</f>
        <v/>
      </c>
      <c r="O95" s="37"/>
      <c r="P95" s="44"/>
      <c r="R95" s="2"/>
      <c r="S95" s="5"/>
      <c r="T95" s="40" t="str">
        <f>IF(M95=D95,F95,D95)</f>
        <v>Vinnare match 59</v>
      </c>
      <c r="W95" s="23"/>
      <c r="X95" s="124"/>
      <c r="Z95" s="5"/>
      <c r="AA95" s="89" t="s">
        <v>43</v>
      </c>
      <c r="AD95" s="89"/>
      <c r="AE95" s="88" t="s">
        <v>44</v>
      </c>
      <c r="AF95" s="72"/>
      <c r="AH95" s="73"/>
      <c r="AZ95" s="90">
        <v>62</v>
      </c>
      <c r="BA95" s="96">
        <v>41829.708333333336</v>
      </c>
      <c r="BB95" s="91" t="str">
        <f>D95</f>
        <v>Vinnare match 59</v>
      </c>
      <c r="BC95" s="134" t="s">
        <v>6</v>
      </c>
      <c r="BD95" s="91" t="str">
        <f>F95</f>
        <v>Vinnare match 60</v>
      </c>
      <c r="BE95" s="92">
        <f>IF(G95='Resultat &amp; tabell'!$G95,2,0)</f>
        <v>2</v>
      </c>
      <c r="BF95" s="64" t="s">
        <v>6</v>
      </c>
      <c r="BG95" s="92">
        <f>IF(I95='Resultat &amp; tabell'!$I95,2,0)</f>
        <v>2</v>
      </c>
      <c r="BH95" s="92">
        <f>IF(J95='Resultat &amp; tabell'!$J95,1,0)</f>
        <v>1</v>
      </c>
      <c r="BI95" s="93">
        <f t="shared" si="171"/>
        <v>5</v>
      </c>
      <c r="BK95" s="78"/>
      <c r="BL95" s="45" t="str">
        <f>D87</f>
        <v>Vinnare match 49</v>
      </c>
      <c r="BM95" s="45" t="str">
        <f>'Resultat &amp; tabell'!D87</f>
        <v>Vinnare match 49</v>
      </c>
      <c r="BN95" s="125" t="str">
        <f t="shared" ref="BN95:BN102" si="172">VLOOKUP(BL95,$BM$95:$BM$102,1,FALSE)</f>
        <v>Vinnare match 49</v>
      </c>
      <c r="BO95" s="136" t="str">
        <f t="shared" ref="BO95:BO102" si="173">BN95</f>
        <v>Vinnare match 49</v>
      </c>
      <c r="BP95" s="78">
        <f>IFERROR(IF(AND(COUNTIF($J$76:$J$83,"")=0,BN95=BO95),4,0),0)</f>
        <v>0</v>
      </c>
    </row>
    <row r="96" spans="2:68" ht="14.25" customHeight="1" x14ac:dyDescent="0.25">
      <c r="B96" s="37"/>
      <c r="C96" s="38"/>
      <c r="D96" s="5"/>
      <c r="J96" s="24"/>
      <c r="K96" s="24"/>
      <c r="M96" s="42"/>
      <c r="N96" s="42"/>
      <c r="O96" s="40"/>
      <c r="P96" s="44"/>
      <c r="Q96" s="2"/>
      <c r="R96" s="2"/>
      <c r="S96" s="5"/>
      <c r="W96" s="23"/>
      <c r="X96" s="124"/>
      <c r="Z96" s="5"/>
      <c r="AA96" s="73"/>
      <c r="AD96" s="89"/>
      <c r="AE96" s="88"/>
      <c r="AF96" s="72"/>
      <c r="AH96" s="73"/>
      <c r="AZ96" s="42"/>
      <c r="BA96" s="41"/>
      <c r="BB96" s="78"/>
      <c r="BI96" s="103"/>
      <c r="BK96" s="78"/>
      <c r="BL96" s="45" t="str">
        <f>D88</f>
        <v>Vinnare match 53</v>
      </c>
      <c r="BM96" s="45" t="str">
        <f>'Resultat &amp; tabell'!D88</f>
        <v>Vinnare match 53</v>
      </c>
      <c r="BN96" s="125" t="str">
        <f t="shared" si="172"/>
        <v>Vinnare match 53</v>
      </c>
      <c r="BO96" s="136" t="str">
        <f t="shared" si="173"/>
        <v>Vinnare match 53</v>
      </c>
      <c r="BP96" s="78">
        <f t="shared" ref="BP96:BP102" si="174">IFERROR(IF(AND(COUNTIF($J$76:$J$83,"")=0,BN96=BO96),4,0),0)</f>
        <v>0</v>
      </c>
    </row>
    <row r="97" spans="2:68" ht="14.25" customHeight="1" x14ac:dyDescent="0.25">
      <c r="B97" s="68" t="s">
        <v>45</v>
      </c>
      <c r="C97" s="38"/>
      <c r="D97" s="5"/>
      <c r="J97" s="24"/>
      <c r="K97" s="24"/>
      <c r="M97" s="42"/>
      <c r="N97" s="42"/>
      <c r="O97" s="40"/>
      <c r="P97" s="44"/>
      <c r="Q97" s="2"/>
      <c r="R97" s="2"/>
      <c r="S97" s="5"/>
      <c r="W97" s="23"/>
      <c r="X97" s="124"/>
      <c r="Z97" s="5"/>
      <c r="AA97" s="73"/>
      <c r="AD97" s="89"/>
      <c r="AE97" s="88"/>
      <c r="AF97" s="72"/>
      <c r="AH97" s="73"/>
      <c r="AZ97" s="75" t="s">
        <v>45</v>
      </c>
      <c r="BA97" s="41"/>
      <c r="BB97" s="78"/>
      <c r="BI97" s="103"/>
      <c r="BK97" s="78"/>
      <c r="BL97" s="45" t="str">
        <f>D89</f>
        <v>Vinnare match 51</v>
      </c>
      <c r="BM97" s="45" t="str">
        <f>'Resultat &amp; tabell'!D89</f>
        <v>Vinnare match 51</v>
      </c>
      <c r="BN97" s="125" t="str">
        <f t="shared" si="172"/>
        <v>Vinnare match 51</v>
      </c>
      <c r="BO97" s="136" t="str">
        <f t="shared" si="173"/>
        <v>Vinnare match 51</v>
      </c>
      <c r="BP97" s="78">
        <f t="shared" si="174"/>
        <v>0</v>
      </c>
    </row>
    <row r="98" spans="2:68" ht="14.25" customHeight="1" x14ac:dyDescent="0.25">
      <c r="B98" s="119" t="s">
        <v>2</v>
      </c>
      <c r="C98" s="112" t="s">
        <v>3</v>
      </c>
      <c r="D98" s="207" t="s">
        <v>2</v>
      </c>
      <c r="E98" s="208"/>
      <c r="F98" s="208"/>
      <c r="G98" s="221" t="s">
        <v>4</v>
      </c>
      <c r="H98" s="208"/>
      <c r="I98" s="214"/>
      <c r="J98" s="28" t="s">
        <v>69</v>
      </c>
      <c r="K98" s="7" t="s">
        <v>75</v>
      </c>
      <c r="M98" s="43" t="s">
        <v>143</v>
      </c>
      <c r="N98" s="43"/>
      <c r="O98" s="40"/>
      <c r="P98" s="225" t="s">
        <v>130</v>
      </c>
      <c r="Q98" s="226"/>
      <c r="R98" s="226"/>
      <c r="S98" s="227"/>
      <c r="W98" s="23"/>
      <c r="X98" s="124"/>
      <c r="Z98" s="5"/>
      <c r="AA98" s="108" t="s">
        <v>2</v>
      </c>
      <c r="AB98" s="108"/>
      <c r="AC98" s="108"/>
      <c r="AD98" s="108"/>
      <c r="AE98" s="108"/>
      <c r="AF98" s="72"/>
      <c r="AH98" s="73"/>
      <c r="AZ98" s="121" t="s">
        <v>2</v>
      </c>
      <c r="BA98" s="113" t="s">
        <v>3</v>
      </c>
      <c r="BB98" s="165" t="s">
        <v>2</v>
      </c>
      <c r="BC98" s="166"/>
      <c r="BD98" s="166"/>
      <c r="BE98" s="168" t="s">
        <v>4</v>
      </c>
      <c r="BF98" s="166"/>
      <c r="BG98" s="169"/>
      <c r="BH98" s="166" t="s">
        <v>69</v>
      </c>
      <c r="BI98" s="28" t="s">
        <v>75</v>
      </c>
      <c r="BK98" s="78"/>
      <c r="BL98" s="45" t="str">
        <f>D90</f>
        <v>Vinnare match 55</v>
      </c>
      <c r="BM98" s="45" t="str">
        <f>'Resultat &amp; tabell'!D90</f>
        <v>Vinnare match 55</v>
      </c>
      <c r="BN98" s="125" t="str">
        <f t="shared" si="172"/>
        <v>Vinnare match 55</v>
      </c>
      <c r="BO98" s="136" t="str">
        <f t="shared" si="173"/>
        <v>Vinnare match 55</v>
      </c>
      <c r="BP98" s="78">
        <f t="shared" si="174"/>
        <v>0</v>
      </c>
    </row>
    <row r="99" spans="2:68" ht="14.25" customHeight="1" x14ac:dyDescent="0.25">
      <c r="B99" s="16">
        <v>63</v>
      </c>
      <c r="C99" s="95">
        <v>44912</v>
      </c>
      <c r="D99" s="131" t="str">
        <f>IF(M94="","Förlorare match 61",T94)</f>
        <v>Förlorare match 61</v>
      </c>
      <c r="E99" s="132" t="s">
        <v>6</v>
      </c>
      <c r="F99" s="133" t="str">
        <f>IF(M95="","Förlorare match 62",T95)</f>
        <v>Förlorare match 62</v>
      </c>
      <c r="G99" s="62"/>
      <c r="H99" s="87" t="s">
        <v>6</v>
      </c>
      <c r="I99" s="62"/>
      <c r="J99" s="64" t="str">
        <f>IF(OR(ISBLANK(G99),ISBLANK(I99)),"",IF(G99&gt;I99,1,IF(G99&lt;I99,2,"X")))</f>
        <v/>
      </c>
      <c r="K99" s="63">
        <f>IF(OR(G99="",I99="",'Resultat &amp; tabell'!G99="",'Resultat &amp; tabell'!I99=""),0,IF(G99='Resultat &amp; tabell'!G99,2,0)+IF(I99='Resultat &amp; tabell'!I99,2,0)+IF(J99='Resultat &amp; tabell'!J99,3,0))</f>
        <v>0</v>
      </c>
      <c r="M99" s="65"/>
      <c r="N99" s="66" t="str">
        <f>IF(OR(ISBLANK(D99),ISBLANK(F99),J99="",M99=""),"",IF(OR(AND(J99=1,M99=D99),AND(J99=2,M99=F99),AND(J99="X",OR(M99=D99,M99=F99))),"","Ej OK"))</f>
        <v/>
      </c>
      <c r="O99" s="40"/>
      <c r="P99" s="228">
        <f>BP115</f>
        <v>0</v>
      </c>
      <c r="Q99" s="229"/>
      <c r="R99" s="229"/>
      <c r="S99" s="230"/>
      <c r="W99" s="23"/>
      <c r="X99" s="124"/>
      <c r="Z99" s="5"/>
      <c r="AA99" s="89" t="s">
        <v>46</v>
      </c>
      <c r="AD99" s="89"/>
      <c r="AE99" s="88" t="s">
        <v>47</v>
      </c>
      <c r="AF99" s="72"/>
      <c r="AH99" s="73"/>
      <c r="AZ99" s="90">
        <v>63</v>
      </c>
      <c r="BA99" s="96">
        <v>41832</v>
      </c>
      <c r="BB99" s="91" t="str">
        <f>D99</f>
        <v>Förlorare match 61</v>
      </c>
      <c r="BC99" s="134" t="s">
        <v>6</v>
      </c>
      <c r="BD99" s="91" t="str">
        <f>F99</f>
        <v>Förlorare match 62</v>
      </c>
      <c r="BE99" s="92">
        <f>IF(G99='Resultat &amp; tabell'!$G99,2,0)</f>
        <v>2</v>
      </c>
      <c r="BF99" s="64" t="s">
        <v>6</v>
      </c>
      <c r="BG99" s="92">
        <f>IF(I99='Resultat &amp; tabell'!$I99,2,0)</f>
        <v>2</v>
      </c>
      <c r="BH99" s="92">
        <f>IF(J99='Resultat &amp; tabell'!$J99,1,0)</f>
        <v>1</v>
      </c>
      <c r="BI99" s="93">
        <f>SUM(BE99+BG99+BH99)</f>
        <v>5</v>
      </c>
      <c r="BK99" s="78"/>
      <c r="BL99" s="45" t="str">
        <f>F87</f>
        <v>Vinnare match 50</v>
      </c>
      <c r="BM99" s="45" t="str">
        <f>'Resultat &amp; tabell'!F87</f>
        <v>Vinnare match 50</v>
      </c>
      <c r="BN99" s="125" t="str">
        <f t="shared" si="172"/>
        <v>Vinnare match 50</v>
      </c>
      <c r="BO99" s="136" t="str">
        <f t="shared" si="173"/>
        <v>Vinnare match 50</v>
      </c>
      <c r="BP99" s="78">
        <f t="shared" si="174"/>
        <v>0</v>
      </c>
    </row>
    <row r="100" spans="2:68" ht="14.25" customHeight="1" x14ac:dyDescent="0.25">
      <c r="B100" s="37"/>
      <c r="C100" s="38"/>
      <c r="D100" s="5"/>
      <c r="J100" s="24"/>
      <c r="K100" s="24"/>
      <c r="M100" s="45"/>
      <c r="N100" s="45"/>
      <c r="O100" s="40"/>
      <c r="P100" s="46"/>
      <c r="Q100" s="2"/>
      <c r="R100" s="2"/>
      <c r="S100" s="5"/>
      <c r="W100" s="23"/>
      <c r="X100" s="124"/>
      <c r="Z100" s="5"/>
      <c r="AA100" s="73"/>
      <c r="AD100" s="89"/>
      <c r="AE100" s="88"/>
      <c r="AF100" s="72"/>
      <c r="AH100" s="73"/>
      <c r="AZ100" s="42"/>
      <c r="BA100" s="41"/>
      <c r="BB100" s="78"/>
      <c r="BI100" s="103"/>
      <c r="BK100" s="78"/>
      <c r="BL100" s="45" t="str">
        <f>F88</f>
        <v>Vinnare match 54</v>
      </c>
      <c r="BM100" s="45" t="str">
        <f>'Resultat &amp; tabell'!F88</f>
        <v>Vinnare match 54</v>
      </c>
      <c r="BN100" s="125" t="str">
        <f t="shared" si="172"/>
        <v>Vinnare match 54</v>
      </c>
      <c r="BO100" s="136" t="str">
        <f t="shared" si="173"/>
        <v>Vinnare match 54</v>
      </c>
      <c r="BP100" s="78">
        <f t="shared" si="174"/>
        <v>0</v>
      </c>
    </row>
    <row r="101" spans="2:68" ht="14.25" customHeight="1" x14ac:dyDescent="0.25">
      <c r="B101" s="68" t="s">
        <v>49</v>
      </c>
      <c r="C101" s="104"/>
      <c r="D101" s="26"/>
      <c r="E101" s="27"/>
      <c r="F101" s="68"/>
      <c r="G101" s="27"/>
      <c r="H101" s="27"/>
      <c r="I101" s="27"/>
      <c r="J101" s="24"/>
      <c r="K101" s="24"/>
      <c r="M101" s="45"/>
      <c r="N101" s="45"/>
      <c r="O101" s="40"/>
      <c r="P101" s="44"/>
      <c r="Q101" s="2"/>
      <c r="R101" s="2"/>
      <c r="S101" s="5"/>
      <c r="W101" s="23"/>
      <c r="X101" s="124"/>
      <c r="Z101" s="5"/>
      <c r="AA101" s="108"/>
      <c r="AB101" s="71"/>
      <c r="AC101" s="71"/>
      <c r="AD101" s="71"/>
      <c r="AE101" s="70"/>
      <c r="AF101" s="72"/>
      <c r="AH101" s="73"/>
      <c r="AZ101" s="75" t="s">
        <v>49</v>
      </c>
      <c r="BA101" s="109"/>
      <c r="BB101" s="110"/>
      <c r="BC101" s="76"/>
      <c r="BD101" s="75"/>
      <c r="BE101" s="76"/>
      <c r="BF101" s="76"/>
      <c r="BG101" s="76"/>
      <c r="BH101" s="76"/>
      <c r="BI101" s="103"/>
      <c r="BK101" s="78"/>
      <c r="BL101" s="45" t="str">
        <f>F89</f>
        <v>Vinnare match 52</v>
      </c>
      <c r="BM101" s="45" t="str">
        <f>'Resultat &amp; tabell'!F89</f>
        <v>Vinnare match 52</v>
      </c>
      <c r="BN101" s="125" t="str">
        <f t="shared" si="172"/>
        <v>Vinnare match 52</v>
      </c>
      <c r="BO101" s="136" t="str">
        <f t="shared" si="173"/>
        <v>Vinnare match 52</v>
      </c>
      <c r="BP101" s="78">
        <f t="shared" si="174"/>
        <v>0</v>
      </c>
    </row>
    <row r="102" spans="2:68" ht="14.25" customHeight="1" x14ac:dyDescent="0.25">
      <c r="B102" s="119" t="s">
        <v>2</v>
      </c>
      <c r="C102" s="112" t="s">
        <v>3</v>
      </c>
      <c r="D102" s="207" t="s">
        <v>2</v>
      </c>
      <c r="E102" s="208"/>
      <c r="F102" s="209"/>
      <c r="G102" s="208" t="s">
        <v>4</v>
      </c>
      <c r="H102" s="208"/>
      <c r="I102" s="208"/>
      <c r="J102" s="28" t="s">
        <v>69</v>
      </c>
      <c r="K102" s="7" t="s">
        <v>75</v>
      </c>
      <c r="M102" s="43" t="s">
        <v>144</v>
      </c>
      <c r="N102" s="43"/>
      <c r="O102" s="40"/>
      <c r="P102" s="225" t="s">
        <v>131</v>
      </c>
      <c r="Q102" s="226"/>
      <c r="R102" s="226"/>
      <c r="S102" s="227"/>
      <c r="W102" s="23"/>
      <c r="X102" s="124"/>
      <c r="Z102" s="5"/>
      <c r="AA102" s="108" t="s">
        <v>2</v>
      </c>
      <c r="AB102" s="108"/>
      <c r="AC102" s="108"/>
      <c r="AD102" s="108"/>
      <c r="AE102" s="108"/>
      <c r="AF102" s="72"/>
      <c r="AH102" s="73"/>
      <c r="AZ102" s="121" t="s">
        <v>2</v>
      </c>
      <c r="BA102" s="113" t="s">
        <v>3</v>
      </c>
      <c r="BB102" s="165" t="s">
        <v>2</v>
      </c>
      <c r="BC102" s="166"/>
      <c r="BD102" s="167"/>
      <c r="BE102" s="166" t="s">
        <v>4</v>
      </c>
      <c r="BF102" s="166"/>
      <c r="BG102" s="166"/>
      <c r="BH102" s="166" t="s">
        <v>69</v>
      </c>
      <c r="BI102" s="28" t="s">
        <v>75</v>
      </c>
      <c r="BK102" s="78"/>
      <c r="BL102" s="45" t="str">
        <f>F90</f>
        <v>Vinnare match 56</v>
      </c>
      <c r="BM102" s="45" t="str">
        <f>'Resultat &amp; tabell'!F90</f>
        <v>Vinnare match 56</v>
      </c>
      <c r="BN102" s="125" t="str">
        <f t="shared" si="172"/>
        <v>Vinnare match 56</v>
      </c>
      <c r="BO102" s="136" t="str">
        <f t="shared" si="173"/>
        <v>Vinnare match 56</v>
      </c>
      <c r="BP102" s="78">
        <f t="shared" si="174"/>
        <v>0</v>
      </c>
    </row>
    <row r="103" spans="2:68" ht="14.25" customHeight="1" x14ac:dyDescent="0.25">
      <c r="B103" s="143">
        <v>64</v>
      </c>
      <c r="C103" s="144">
        <v>44913</v>
      </c>
      <c r="D103" s="131" t="str">
        <f>IF(M94="","Vinnare match 61",M94)</f>
        <v>Vinnare match 61</v>
      </c>
      <c r="E103" s="132" t="s">
        <v>6</v>
      </c>
      <c r="F103" s="133" t="str">
        <f>IF(M95="","Vinnare match 62",M95)</f>
        <v>Vinnare match 62</v>
      </c>
      <c r="G103" s="62"/>
      <c r="H103" s="87" t="s">
        <v>6</v>
      </c>
      <c r="I103" s="62"/>
      <c r="J103" s="64" t="str">
        <f>IF(OR(ISBLANK(G103),ISBLANK(I103)),"",IF(G103&gt;I103,1,IF(G103&lt;I103,2,"X")))</f>
        <v/>
      </c>
      <c r="K103" s="63">
        <f>IF(OR(G103="",I103="",'Resultat &amp; tabell'!G103="",'Resultat &amp; tabell'!I103=""),0,IF(G103='Resultat &amp; tabell'!G103,2,0)+IF(I103='Resultat &amp; tabell'!I103,2,0)+IF(J103='Resultat &amp; tabell'!J103,3,0))</f>
        <v>0</v>
      </c>
      <c r="M103" s="65"/>
      <c r="N103" s="66" t="str">
        <f>IF(OR(ISBLANK(D103),ISBLANK(F103),J103="",M103=""),"",IF(OR(AND(J103=1,M103=D103),AND(J103=2,M103=F103),AND(J103="X",OR(M103=D103,M103=F103))),"","Ej OK"))</f>
        <v/>
      </c>
      <c r="O103" s="40"/>
      <c r="P103" s="228">
        <f>BP120</f>
        <v>0</v>
      </c>
      <c r="Q103" s="229"/>
      <c r="R103" s="229"/>
      <c r="S103" s="230"/>
      <c r="W103" s="23"/>
      <c r="X103" s="124"/>
      <c r="Z103" s="5"/>
      <c r="AA103" s="89" t="s">
        <v>52</v>
      </c>
      <c r="AD103" s="89"/>
      <c r="AE103" s="88" t="s">
        <v>53</v>
      </c>
      <c r="AF103" s="72"/>
      <c r="AH103" s="73"/>
      <c r="AZ103" s="145">
        <v>64</v>
      </c>
      <c r="BA103" s="146">
        <v>41833.666666666664</v>
      </c>
      <c r="BB103" s="91" t="str">
        <f>D103</f>
        <v>Vinnare match 61</v>
      </c>
      <c r="BC103" s="134" t="s">
        <v>6</v>
      </c>
      <c r="BD103" s="91" t="str">
        <f>F103</f>
        <v>Vinnare match 62</v>
      </c>
      <c r="BE103" s="92">
        <f>IF(G103='Resultat &amp; tabell'!$G103,2,0)</f>
        <v>2</v>
      </c>
      <c r="BF103" s="64" t="s">
        <v>6</v>
      </c>
      <c r="BG103" s="92">
        <f>IF(I103='Resultat &amp; tabell'!$I103,2,0)</f>
        <v>2</v>
      </c>
      <c r="BH103" s="92">
        <f>IF(J103='Resultat &amp; tabell'!$J103,1,0)</f>
        <v>1</v>
      </c>
      <c r="BI103" s="93">
        <f>SUM(BE103+BG103+BH103)</f>
        <v>5</v>
      </c>
      <c r="BK103" s="78"/>
      <c r="BM103" s="45"/>
      <c r="BN103" s="147"/>
      <c r="BO103" s="6" t="s">
        <v>93</v>
      </c>
      <c r="BP103" s="110">
        <f>SUM(BP95:BP102)</f>
        <v>0</v>
      </c>
    </row>
    <row r="104" spans="2:68" ht="14.25" customHeight="1" x14ac:dyDescent="0.25">
      <c r="K104" s="24"/>
      <c r="BL104" s="126" t="s">
        <v>39</v>
      </c>
      <c r="BM104" s="127"/>
      <c r="BN104" s="128"/>
      <c r="BO104" s="129"/>
      <c r="BP104" s="129"/>
    </row>
    <row r="105" spans="2:68" ht="14.25" customHeight="1" x14ac:dyDescent="0.25">
      <c r="BL105" s="1" t="s">
        <v>90</v>
      </c>
      <c r="BM105" s="74" t="s">
        <v>89</v>
      </c>
      <c r="BN105" s="74" t="s">
        <v>91</v>
      </c>
      <c r="BO105" s="74" t="s">
        <v>92</v>
      </c>
      <c r="BP105" s="74" t="s">
        <v>75</v>
      </c>
    </row>
    <row r="106" spans="2:68" ht="14.25" customHeight="1" x14ac:dyDescent="0.25">
      <c r="BL106" s="79" t="str">
        <f>D94</f>
        <v>Vinnare match 57</v>
      </c>
      <c r="BM106" s="45" t="str">
        <f>'Resultat &amp; tabell'!D94</f>
        <v>Vinnare match 57</v>
      </c>
      <c r="BN106" s="125" t="str">
        <f>VLOOKUP(BL106,$BM$106:$BM$109,1,FALSE)</f>
        <v>Vinnare match 57</v>
      </c>
      <c r="BO106" s="136" t="str">
        <f t="shared" ref="BO106:BO109" si="175">BN106</f>
        <v>Vinnare match 57</v>
      </c>
      <c r="BP106" s="78">
        <f>IFERROR(IF(AND(COUNTIF($J$87:$J$90,"")=0,BN106=BO106),6,0),0)</f>
        <v>0</v>
      </c>
    </row>
    <row r="107" spans="2:68" ht="14.25" customHeight="1" x14ac:dyDescent="0.25">
      <c r="BL107" s="79" t="str">
        <f>D95</f>
        <v>Vinnare match 59</v>
      </c>
      <c r="BM107" s="45" t="str">
        <f>'Resultat &amp; tabell'!D95</f>
        <v>Vinnare match 59</v>
      </c>
      <c r="BN107" s="125" t="str">
        <f>VLOOKUP(BL107,$BM$106:$BM$109,1,FALSE)</f>
        <v>Vinnare match 59</v>
      </c>
      <c r="BO107" s="136" t="str">
        <f t="shared" si="175"/>
        <v>Vinnare match 59</v>
      </c>
      <c r="BP107" s="78">
        <f t="shared" ref="BP107:BP109" si="176">IFERROR(IF(AND(COUNTIF($J$87:$J$90,"")=0,BN107=BO107),6,0),0)</f>
        <v>0</v>
      </c>
    </row>
    <row r="108" spans="2:68" ht="14.25" customHeight="1" x14ac:dyDescent="0.25">
      <c r="BL108" s="79" t="str">
        <f>F94</f>
        <v>Vinnare match 58</v>
      </c>
      <c r="BM108" s="45" t="str">
        <f>'Resultat &amp; tabell'!F94</f>
        <v>Vinnare match 58</v>
      </c>
      <c r="BN108" s="125" t="str">
        <f>VLOOKUP(BL108,$BM$106:$BM$109,1,FALSE)</f>
        <v>Vinnare match 58</v>
      </c>
      <c r="BO108" s="136" t="str">
        <f t="shared" si="175"/>
        <v>Vinnare match 58</v>
      </c>
      <c r="BP108" s="78">
        <f t="shared" si="176"/>
        <v>0</v>
      </c>
    </row>
    <row r="109" spans="2:68" ht="14.25" customHeight="1" x14ac:dyDescent="0.25">
      <c r="BL109" s="79" t="str">
        <f>F95</f>
        <v>Vinnare match 60</v>
      </c>
      <c r="BM109" s="45" t="str">
        <f>'Resultat &amp; tabell'!F95</f>
        <v>Vinnare match 60</v>
      </c>
      <c r="BN109" s="125" t="str">
        <f>VLOOKUP(BL109,$BM$106:$BM$109,1,FALSE)</f>
        <v>Vinnare match 60</v>
      </c>
      <c r="BO109" s="136" t="str">
        <f t="shared" si="175"/>
        <v>Vinnare match 60</v>
      </c>
      <c r="BP109" s="78">
        <f t="shared" si="176"/>
        <v>0</v>
      </c>
    </row>
    <row r="110" spans="2:68" ht="14.25" customHeight="1" x14ac:dyDescent="0.25">
      <c r="BL110" s="79"/>
      <c r="BM110" s="45"/>
      <c r="BN110" s="125"/>
      <c r="BO110" s="6" t="s">
        <v>93</v>
      </c>
      <c r="BP110" s="110">
        <f>SUM(BP106:BP109)</f>
        <v>0</v>
      </c>
    </row>
    <row r="111" spans="2:68" ht="14.25" customHeight="1" x14ac:dyDescent="0.25">
      <c r="BL111" s="126" t="s">
        <v>45</v>
      </c>
      <c r="BM111" s="127"/>
      <c r="BN111" s="128"/>
      <c r="BO111" s="129"/>
      <c r="BP111" s="129"/>
    </row>
    <row r="112" spans="2:68" ht="14.25" customHeight="1" x14ac:dyDescent="0.25">
      <c r="BL112" s="1" t="s">
        <v>90</v>
      </c>
      <c r="BM112" s="74" t="s">
        <v>89</v>
      </c>
      <c r="BN112" s="74" t="s">
        <v>91</v>
      </c>
      <c r="BO112" s="74" t="s">
        <v>92</v>
      </c>
      <c r="BP112" s="74" t="s">
        <v>75</v>
      </c>
    </row>
    <row r="113" spans="64:68" ht="14.25" customHeight="1" x14ac:dyDescent="0.25">
      <c r="BL113" s="79" t="str">
        <f>D99</f>
        <v>Förlorare match 61</v>
      </c>
      <c r="BM113" s="45" t="str">
        <f>'Resultat &amp; tabell'!D99</f>
        <v>Förlorare match 61</v>
      </c>
      <c r="BN113" s="125" t="str">
        <f>VLOOKUP(BL113,$BM$113:$BM$114,1,FALSE)</f>
        <v>Förlorare match 61</v>
      </c>
      <c r="BO113" s="136" t="str">
        <f t="shared" ref="BO113:BO114" si="177">BN113</f>
        <v>Förlorare match 61</v>
      </c>
      <c r="BP113" s="78">
        <f>IFERROR(IF(AND(COUNTIF($J$94:$J$95,"")=0,BN113=BO113),8,0),0)</f>
        <v>0</v>
      </c>
    </row>
    <row r="114" spans="64:68" ht="14.25" customHeight="1" x14ac:dyDescent="0.25">
      <c r="BL114" s="79" t="str">
        <f>F99</f>
        <v>Förlorare match 62</v>
      </c>
      <c r="BM114" s="45" t="str">
        <f>'Resultat &amp; tabell'!F99</f>
        <v>Förlorare match 62</v>
      </c>
      <c r="BN114" s="125" t="str">
        <f>VLOOKUP(BL114,$BM$113:$BM$114,1,FALSE)</f>
        <v>Förlorare match 62</v>
      </c>
      <c r="BO114" s="136" t="str">
        <f t="shared" si="177"/>
        <v>Förlorare match 62</v>
      </c>
      <c r="BP114" s="78">
        <f>IFERROR(IF(AND(COUNTIF($J$94:$J$95,"")=0,BN114=BO114),8,0),0)</f>
        <v>0</v>
      </c>
    </row>
    <row r="115" spans="64:68" ht="14.25" customHeight="1" x14ac:dyDescent="0.25">
      <c r="BL115" s="79"/>
      <c r="BM115" s="45"/>
      <c r="BN115" s="125"/>
      <c r="BO115" s="6" t="s">
        <v>93</v>
      </c>
      <c r="BP115" s="110">
        <f>SUM(BP113:BP114)</f>
        <v>0</v>
      </c>
    </row>
    <row r="116" spans="64:68" ht="14.25" customHeight="1" x14ac:dyDescent="0.25">
      <c r="BL116" s="126" t="s">
        <v>49</v>
      </c>
      <c r="BM116" s="127"/>
      <c r="BN116" s="128"/>
      <c r="BO116" s="129"/>
      <c r="BP116" s="129"/>
    </row>
    <row r="117" spans="64:68" ht="14.25" customHeight="1" x14ac:dyDescent="0.25">
      <c r="BL117" s="1" t="s">
        <v>90</v>
      </c>
      <c r="BM117" s="74" t="s">
        <v>89</v>
      </c>
      <c r="BN117" s="74" t="s">
        <v>91</v>
      </c>
      <c r="BO117" s="74" t="s">
        <v>92</v>
      </c>
      <c r="BP117" s="74" t="s">
        <v>75</v>
      </c>
    </row>
    <row r="118" spans="64:68" ht="14.25" customHeight="1" x14ac:dyDescent="0.25">
      <c r="BL118" s="79" t="str">
        <f>D103</f>
        <v>Vinnare match 61</v>
      </c>
      <c r="BM118" s="45" t="str">
        <f>'Resultat &amp; tabell'!D103</f>
        <v>Vinnare match 61</v>
      </c>
      <c r="BN118" s="125" t="str">
        <f>VLOOKUP(BL118,$BM$118:$BM$119,1,FALSE)</f>
        <v>Vinnare match 61</v>
      </c>
      <c r="BO118" s="136" t="str">
        <f t="shared" ref="BO118:BO119" si="178">BN118</f>
        <v>Vinnare match 61</v>
      </c>
      <c r="BP118" s="78">
        <f>IFERROR(IF(AND(COUNTIF($J$94:$J$95,"")=0,BN118=BO118),8,0),0)</f>
        <v>0</v>
      </c>
    </row>
    <row r="119" spans="64:68" ht="14.25" customHeight="1" x14ac:dyDescent="0.25">
      <c r="BL119" s="79" t="str">
        <f>F103</f>
        <v>Vinnare match 62</v>
      </c>
      <c r="BM119" s="45" t="str">
        <f>'Resultat &amp; tabell'!F103</f>
        <v>Vinnare match 62</v>
      </c>
      <c r="BN119" s="125" t="str">
        <f>VLOOKUP(BL119,$BM$118:$BM$119,1,FALSE)</f>
        <v>Vinnare match 62</v>
      </c>
      <c r="BO119" s="136" t="str">
        <f t="shared" si="178"/>
        <v>Vinnare match 62</v>
      </c>
      <c r="BP119" s="78">
        <f>IFERROR(IF(AND(COUNTIF($J$94:$J$95,"")=0,BN119=BO119),8,0),0)</f>
        <v>0</v>
      </c>
    </row>
    <row r="120" spans="64:68" ht="14.25" customHeight="1" x14ac:dyDescent="0.25">
      <c r="BL120" s="79"/>
      <c r="BM120" s="45"/>
      <c r="BN120" s="125"/>
      <c r="BO120" s="6" t="s">
        <v>93</v>
      </c>
      <c r="BP120" s="110">
        <f>SUM(BP118:BP119)</f>
        <v>0</v>
      </c>
    </row>
  </sheetData>
  <sheetProtection algorithmName="SHA-512" hashValue="drdCsF+o0aL32rela3mDQn3NW0uPyUjSjGMUm3Ni9gG7maafJszpOWfZ+y1L50avVOAqYuL9H35fO0Y029NLaA==" saltValue="LkOpVJnOt3KtgD6Ds+TuFQ==" spinCount="100000" sheet="1" objects="1" scenarios="1"/>
  <dataConsolidate/>
  <mergeCells count="52">
    <mergeCell ref="P99:S99"/>
    <mergeCell ref="D102:F102"/>
    <mergeCell ref="G102:I102"/>
    <mergeCell ref="P102:S102"/>
    <mergeCell ref="P103:S103"/>
    <mergeCell ref="D98:F98"/>
    <mergeCell ref="G98:I98"/>
    <mergeCell ref="P98:S98"/>
    <mergeCell ref="D75:F75"/>
    <mergeCell ref="G75:I75"/>
    <mergeCell ref="P75:S75"/>
    <mergeCell ref="P76:S76"/>
    <mergeCell ref="D86:F86"/>
    <mergeCell ref="G86:I86"/>
    <mergeCell ref="P86:S86"/>
    <mergeCell ref="P87:S87"/>
    <mergeCell ref="D93:F93"/>
    <mergeCell ref="G93:I93"/>
    <mergeCell ref="P93:S93"/>
    <mergeCell ref="P94:S94"/>
    <mergeCell ref="D57:F57"/>
    <mergeCell ref="G57:I57"/>
    <mergeCell ref="BE57:BG57"/>
    <mergeCell ref="D66:F66"/>
    <mergeCell ref="G66:I66"/>
    <mergeCell ref="BE66:BG66"/>
    <mergeCell ref="D39:F39"/>
    <mergeCell ref="G39:I39"/>
    <mergeCell ref="BE39:BG39"/>
    <mergeCell ref="D48:F48"/>
    <mergeCell ref="G48:I48"/>
    <mergeCell ref="BE48:BG48"/>
    <mergeCell ref="D21:F21"/>
    <mergeCell ref="G21:I21"/>
    <mergeCell ref="BB21:BD21"/>
    <mergeCell ref="BE21:BG21"/>
    <mergeCell ref="D30:F30"/>
    <mergeCell ref="G30:I30"/>
    <mergeCell ref="BB30:BD30"/>
    <mergeCell ref="BE30:BG30"/>
    <mergeCell ref="BE12:BG12"/>
    <mergeCell ref="D3:F3"/>
    <mergeCell ref="G3:I3"/>
    <mergeCell ref="T3:W3"/>
    <mergeCell ref="BB3:BD3"/>
    <mergeCell ref="BE3:BG3"/>
    <mergeCell ref="T4:W4"/>
    <mergeCell ref="T5:W5"/>
    <mergeCell ref="T6:W6"/>
    <mergeCell ref="D12:F12"/>
    <mergeCell ref="G12:I12"/>
    <mergeCell ref="BB12:BD12"/>
  </mergeCells>
  <conditionalFormatting sqref="N76:N83 N87:N90 N94:N95">
    <cfRule type="containsText" dxfId="5" priority="3" operator="containsText" text="Ej OK">
      <formula>NOT(ISERROR(SEARCH("Ej OK",N76)))</formula>
    </cfRule>
  </conditionalFormatting>
  <conditionalFormatting sqref="N99">
    <cfRule type="containsText" dxfId="4" priority="2" operator="containsText" text="Ej OK">
      <formula>NOT(ISERROR(SEARCH("Ej OK",N99)))</formula>
    </cfRule>
  </conditionalFormatting>
  <conditionalFormatting sqref="N103">
    <cfRule type="containsText" dxfId="3" priority="1" operator="containsText" text="Ej OK">
      <formula>NOT(ISERROR(SEARCH("Ej OK",N103)))</formula>
    </cfRule>
  </conditionalFormatting>
  <dataValidations count="1">
    <dataValidation type="list" allowBlank="1" showInputMessage="1" showErrorMessage="1" sqref="M76:M83 M87:M90 M94:M95 M99 M103" xr:uid="{3AB435BE-3CFF-4AD6-8D9B-64967327AF69}">
      <formula1>D76:F76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F4EE8-A627-4139-AD7B-3289455BA36E}">
  <sheetPr codeName="Sheet15"/>
  <dimension ref="B1:BP120"/>
  <sheetViews>
    <sheetView showGridLines="0" topLeftCell="A13" zoomScaleNormal="100" zoomScaleSheetLayoutView="90" workbookViewId="0">
      <selection activeCell="BQ24" sqref="BQ24"/>
    </sheetView>
  </sheetViews>
  <sheetFormatPr defaultColWidth="9.140625" defaultRowHeight="14.25" customHeight="1" x14ac:dyDescent="0.25"/>
  <cols>
    <col min="1" max="1" width="2.85546875" style="5" customWidth="1"/>
    <col min="2" max="2" width="5.85546875" style="69" customWidth="1"/>
    <col min="3" max="3" width="6.28515625" style="37" bestFit="1" customWidth="1"/>
    <col min="4" max="4" width="17.7109375" style="37" customWidth="1"/>
    <col min="5" max="5" width="1.5703125" style="23" bestFit="1" customWidth="1"/>
    <col min="6" max="6" width="17.7109375" style="37" customWidth="1"/>
    <col min="7" max="7" width="4.85546875" style="23" customWidth="1"/>
    <col min="8" max="8" width="1.5703125" style="23" bestFit="1" customWidth="1"/>
    <col min="9" max="9" width="4.85546875" style="23" customWidth="1"/>
    <col min="10" max="11" width="6.42578125" style="1" customWidth="1"/>
    <col min="12" max="12" width="5.85546875" style="2" customWidth="1"/>
    <col min="13" max="13" width="20.5703125" style="5" bestFit="1" customWidth="1"/>
    <col min="14" max="14" width="5.7109375" style="37" customWidth="1"/>
    <col min="15" max="15" width="6.7109375" style="38" bestFit="1" customWidth="1"/>
    <col min="16" max="17" width="5.7109375" style="5" customWidth="1"/>
    <col min="18" max="18" width="5.85546875" style="5" customWidth="1"/>
    <col min="19" max="19" width="17" style="23" customWidth="1"/>
    <col min="20" max="21" width="6.7109375" style="23" customWidth="1"/>
    <col min="22" max="22" width="19.42578125" style="23" customWidth="1"/>
    <col min="23" max="23" width="13.42578125" style="124" customWidth="1"/>
    <col min="24" max="24" width="6.42578125" style="5" customWidth="1"/>
    <col min="25" max="25" width="5.7109375" style="5" customWidth="1"/>
    <col min="26" max="26" width="16.28515625" style="88" hidden="1" customWidth="1"/>
    <col min="27" max="27" width="7.140625" style="89" hidden="1" customWidth="1"/>
    <col min="28" max="29" width="5.7109375" style="89" hidden="1" customWidth="1"/>
    <col min="30" max="30" width="16.28515625" style="88" hidden="1" customWidth="1"/>
    <col min="31" max="31" width="7.140625" style="72" hidden="1" customWidth="1"/>
    <col min="32" max="32" width="5.42578125" style="73" hidden="1" customWidth="1"/>
    <col min="33" max="33" width="4.7109375" style="73" hidden="1" customWidth="1"/>
    <col min="34" max="38" width="9.140625" style="72" hidden="1" customWidth="1"/>
    <col min="39" max="39" width="9.85546875" style="72" hidden="1" customWidth="1"/>
    <col min="40" max="40" width="13.85546875" style="72" hidden="1" customWidth="1"/>
    <col min="41" max="41" width="5.7109375" style="72" hidden="1" customWidth="1"/>
    <col min="42" max="42" width="3.85546875" style="72" hidden="1" customWidth="1"/>
    <col min="43" max="43" width="3.28515625" style="72" hidden="1" customWidth="1"/>
    <col min="44" max="44" width="3.7109375" style="72" hidden="1" customWidth="1"/>
    <col min="45" max="45" width="9.140625" style="72" hidden="1" customWidth="1"/>
    <col min="46" max="46" width="4.85546875" style="72" hidden="1" customWidth="1"/>
    <col min="47" max="47" width="13.85546875" style="72" hidden="1" customWidth="1"/>
    <col min="48" max="48" width="5.7109375" style="72" hidden="1" customWidth="1"/>
    <col min="49" max="51" width="4.7109375" style="72" hidden="1" customWidth="1"/>
    <col min="52" max="52" width="5.85546875" style="45" hidden="1" customWidth="1"/>
    <col min="53" max="53" width="6.28515625" style="42" hidden="1" customWidth="1"/>
    <col min="54" max="54" width="16.28515625" style="42" hidden="1" customWidth="1"/>
    <col min="55" max="55" width="1.5703125" style="102" hidden="1" customWidth="1"/>
    <col min="56" max="56" width="16.28515625" style="42" hidden="1" customWidth="1"/>
    <col min="57" max="57" width="4.85546875" style="102" hidden="1" customWidth="1"/>
    <col min="58" max="58" width="1.5703125" style="102" hidden="1" customWidth="1"/>
    <col min="59" max="59" width="4.85546875" style="102" hidden="1" customWidth="1"/>
    <col min="60" max="60" width="6.42578125" style="102" hidden="1" customWidth="1"/>
    <col min="61" max="61" width="6.42578125" style="77" hidden="1" customWidth="1"/>
    <col min="62" max="62" width="5.85546875" style="78" hidden="1" customWidth="1"/>
    <col min="63" max="63" width="28.85546875" style="79" hidden="1" customWidth="1"/>
    <col min="64" max="64" width="34" style="45" hidden="1" customWidth="1"/>
    <col min="65" max="65" width="18.7109375" style="125" hidden="1" customWidth="1"/>
    <col min="66" max="66" width="16.28515625" style="78" hidden="1" customWidth="1"/>
    <col min="67" max="67" width="14.28515625" style="78" hidden="1" customWidth="1"/>
    <col min="68" max="68" width="13.85546875" style="5" hidden="1" customWidth="1"/>
    <col min="69" max="70" width="5.7109375" style="5" customWidth="1"/>
    <col min="71" max="72" width="9.140625" style="5" customWidth="1"/>
    <col min="73" max="16384" width="9.140625" style="5"/>
  </cols>
  <sheetData>
    <row r="1" spans="2:67" ht="14.25" customHeight="1" x14ac:dyDescent="0.25">
      <c r="AZ1" s="177"/>
      <c r="BA1" s="177"/>
      <c r="BB1" s="177"/>
      <c r="BC1" s="181"/>
      <c r="BD1" s="177"/>
      <c r="BE1" s="181"/>
      <c r="BF1" s="181"/>
      <c r="BG1" s="181"/>
      <c r="BH1" s="181"/>
      <c r="BI1" s="176"/>
      <c r="BK1" s="184"/>
      <c r="BL1" s="177"/>
      <c r="BM1" s="182"/>
      <c r="BN1" s="184"/>
    </row>
    <row r="2" spans="2:67" ht="14.25" customHeight="1" x14ac:dyDescent="0.25">
      <c r="B2" s="67" t="s">
        <v>0</v>
      </c>
      <c r="C2" s="68"/>
      <c r="D2" s="68"/>
      <c r="E2" s="27"/>
      <c r="F2" s="68"/>
      <c r="G2" s="27"/>
      <c r="H2" s="27"/>
      <c r="I2" s="27"/>
      <c r="M2" s="3"/>
      <c r="N2" s="4"/>
      <c r="O2" s="4"/>
      <c r="P2" s="4"/>
      <c r="Q2" s="4"/>
      <c r="S2" s="6" t="s">
        <v>70</v>
      </c>
      <c r="T2" s="6"/>
      <c r="U2" s="6"/>
      <c r="V2" s="6"/>
      <c r="W2" s="69"/>
      <c r="X2" s="69"/>
      <c r="Z2" s="70"/>
      <c r="AA2" s="71"/>
      <c r="AB2" s="71"/>
      <c r="AC2" s="71"/>
      <c r="AD2" s="70"/>
      <c r="AZ2" s="175"/>
      <c r="BA2" s="175"/>
      <c r="BB2" s="175"/>
      <c r="BC2" s="201"/>
      <c r="BD2" s="175"/>
      <c r="BE2" s="201"/>
      <c r="BF2" s="201"/>
      <c r="BG2" s="201"/>
      <c r="BH2" s="201"/>
      <c r="BI2" s="176"/>
      <c r="BK2" s="70"/>
      <c r="BL2" s="88"/>
      <c r="BM2" s="88"/>
      <c r="BN2" s="184"/>
      <c r="BO2" s="79"/>
    </row>
    <row r="3" spans="2:67" ht="14.25" customHeight="1" x14ac:dyDescent="0.25">
      <c r="B3" s="11" t="s">
        <v>2</v>
      </c>
      <c r="C3" s="80" t="s">
        <v>3</v>
      </c>
      <c r="D3" s="207" t="s">
        <v>2</v>
      </c>
      <c r="E3" s="208"/>
      <c r="F3" s="209"/>
      <c r="G3" s="213" t="s">
        <v>4</v>
      </c>
      <c r="H3" s="213"/>
      <c r="I3" s="213"/>
      <c r="J3" s="7" t="s">
        <v>69</v>
      </c>
      <c r="K3" s="7" t="s">
        <v>75</v>
      </c>
      <c r="M3" s="8" t="s">
        <v>0</v>
      </c>
      <c r="N3" s="202" t="s">
        <v>75</v>
      </c>
      <c r="O3" s="202" t="s">
        <v>76</v>
      </c>
      <c r="P3" s="202" t="s">
        <v>77</v>
      </c>
      <c r="Q3" s="10" t="s">
        <v>87</v>
      </c>
      <c r="S3" s="11" t="s">
        <v>71</v>
      </c>
      <c r="T3" s="208" t="s">
        <v>113</v>
      </c>
      <c r="U3" s="208"/>
      <c r="V3" s="208"/>
      <c r="W3" s="208"/>
      <c r="X3" s="10" t="s">
        <v>75</v>
      </c>
      <c r="Z3" s="81" t="s">
        <v>73</v>
      </c>
      <c r="AA3" s="81" t="s">
        <v>75</v>
      </c>
      <c r="AB3" s="81" t="s">
        <v>76</v>
      </c>
      <c r="AC3" s="81" t="s">
        <v>77</v>
      </c>
      <c r="AD3" s="81" t="s">
        <v>74</v>
      </c>
      <c r="AE3" s="81" t="s">
        <v>75</v>
      </c>
      <c r="AF3" s="81" t="s">
        <v>76</v>
      </c>
      <c r="AG3" s="81" t="s">
        <v>77</v>
      </c>
      <c r="AI3" s="82" t="s">
        <v>85</v>
      </c>
      <c r="AJ3" s="82" t="s">
        <v>84</v>
      </c>
      <c r="AK3" s="82" t="s">
        <v>83</v>
      </c>
      <c r="AL3" s="81" t="s">
        <v>82</v>
      </c>
      <c r="AM3" s="81" t="s">
        <v>81</v>
      </c>
      <c r="AN3" s="81" t="s">
        <v>78</v>
      </c>
      <c r="AO3" s="81" t="s">
        <v>75</v>
      </c>
      <c r="AP3" s="81" t="s">
        <v>76</v>
      </c>
      <c r="AQ3" s="81" t="s">
        <v>77</v>
      </c>
      <c r="AR3" s="82" t="s">
        <v>79</v>
      </c>
      <c r="AT3" s="81" t="s">
        <v>80</v>
      </c>
      <c r="AU3" s="81" t="s">
        <v>78</v>
      </c>
      <c r="AV3" s="81" t="s">
        <v>75</v>
      </c>
      <c r="AW3" s="81" t="s">
        <v>76</v>
      </c>
      <c r="AX3" s="81" t="s">
        <v>77</v>
      </c>
      <c r="AY3" s="82" t="s">
        <v>79</v>
      </c>
      <c r="AZ3" s="175"/>
      <c r="BA3" s="175"/>
      <c r="BB3" s="206"/>
      <c r="BC3" s="206"/>
      <c r="BD3" s="206"/>
      <c r="BE3" s="206"/>
      <c r="BF3" s="206"/>
      <c r="BG3" s="206"/>
      <c r="BH3" s="201"/>
      <c r="BI3" s="201"/>
      <c r="BK3" s="70"/>
      <c r="BL3" s="71"/>
      <c r="BM3" s="71"/>
      <c r="BN3" s="201"/>
      <c r="BO3" s="24"/>
    </row>
    <row r="4" spans="2:67" ht="14.25" customHeight="1" x14ac:dyDescent="0.25">
      <c r="B4" s="16">
        <v>1</v>
      </c>
      <c r="C4" s="83">
        <v>44885</v>
      </c>
      <c r="D4" s="84" t="s">
        <v>200</v>
      </c>
      <c r="E4" s="85" t="s">
        <v>6</v>
      </c>
      <c r="F4" s="86" t="s">
        <v>57</v>
      </c>
      <c r="G4" s="62">
        <v>1</v>
      </c>
      <c r="H4" s="87" t="s">
        <v>6</v>
      </c>
      <c r="I4" s="62">
        <v>0</v>
      </c>
      <c r="J4" s="64">
        <f>IF(OR(ISBLANK(G4),ISBLANK(I4)),"",IF(G4&gt;I4,1,IF(G4&lt;I4,2,"X")))</f>
        <v>1</v>
      </c>
      <c r="K4" s="63">
        <f>IF(OR(G4="",I4="",'Resultat &amp; tabell'!G4="",'Resultat &amp; tabell'!I4=""),0,IF(G4='Resultat &amp; tabell'!G4,2,0)+IF(I4='Resultat &amp; tabell'!I4,2,0)+IF(J4='Resultat &amp; tabell'!J4,3,0))</f>
        <v>0</v>
      </c>
      <c r="L4" s="12">
        <v>1</v>
      </c>
      <c r="M4" s="13" t="str">
        <f>VLOOKUP(L4,AT4:AY7,2,FALSE)</f>
        <v>Qatar</v>
      </c>
      <c r="N4" s="61">
        <f>VLOOKUP(M4,$AU$4:$AY$7,2,FALSE)</f>
        <v>6</v>
      </c>
      <c r="O4" s="14">
        <f>VLOOKUP(M4,$AU$4:$AY$7,3,FALSE)</f>
        <v>2</v>
      </c>
      <c r="P4" s="14">
        <f>VLOOKUP(M4,$AU$4:$AY$7,4,FALSE)</f>
        <v>1</v>
      </c>
      <c r="Q4" s="15">
        <f>VLOOKUP(M4,$AU$4:$AY$7,5,FALSE)</f>
        <v>1</v>
      </c>
      <c r="S4" s="16" t="s">
        <v>72</v>
      </c>
      <c r="T4" s="222" t="s">
        <v>207</v>
      </c>
      <c r="U4" s="223"/>
      <c r="V4" s="223"/>
      <c r="W4" s="224"/>
      <c r="X4" s="51">
        <f>IF(AND('Resultat &amp; tabell'!S4&gt;0,T4='Resultat &amp; tabell'!S4),20,0)</f>
        <v>0</v>
      </c>
      <c r="Z4" s="88" t="str">
        <f>D4</f>
        <v>Qatar</v>
      </c>
      <c r="AA4" s="89">
        <f>IF(G4="",0,IF($G4&lt;$I4,0,IF($G4=$I4,1,3)))</f>
        <v>3</v>
      </c>
      <c r="AB4" s="89">
        <f t="shared" ref="AB4:AB9" si="0">G4</f>
        <v>1</v>
      </c>
      <c r="AC4" s="89">
        <f t="shared" ref="AC4:AC9" si="1">I4</f>
        <v>0</v>
      </c>
      <c r="AD4" s="88" t="str">
        <f>F4</f>
        <v>Ecuador</v>
      </c>
      <c r="AE4" s="89">
        <f>IF(I4="",0,IF(I4&lt;G4,0,IF(G4=I4,1,3)))</f>
        <v>0</v>
      </c>
      <c r="AF4" s="73">
        <f t="shared" ref="AF4:AF9" si="2">I4</f>
        <v>0</v>
      </c>
      <c r="AG4" s="73">
        <f t="shared" ref="AG4:AG9" si="3">G4</f>
        <v>1</v>
      </c>
      <c r="AI4" s="72">
        <f>RANK($AJ4,$AJ$4:$AJ$7,1)+COUNTIF($AJ$4:$AJ4,$AJ4)-1</f>
        <v>1</v>
      </c>
      <c r="AJ4" s="72">
        <f>AK4+AL4+AM4</f>
        <v>1</v>
      </c>
      <c r="AK4" s="72">
        <f>SUMPRODUCT(($AO$4:$AO$7=AO4)*($AR$4:$AR$7=AR4)*($AP$4:$AP$7&gt;AP4))</f>
        <v>0</v>
      </c>
      <c r="AL4" s="72">
        <f>SUMPRODUCT(($AO$4:$AO$7=AO4)*($AR$4:$AR$7&gt;AR4))</f>
        <v>0</v>
      </c>
      <c r="AM4" s="72">
        <f>RANK(AO4,$AO$4:$AO$7)</f>
        <v>1</v>
      </c>
      <c r="AN4" s="88" t="s">
        <v>200</v>
      </c>
      <c r="AO4" s="72">
        <f>SUMIF($Z$4:$Z$9,$AN4,$AA$4:$AA$9)+SUMIF($AD$4:$AD$9,$AN4,$AE$4:$AE$9)</f>
        <v>6</v>
      </c>
      <c r="AP4" s="72">
        <f>SUMIF($Z$4:$Z$9,AN4,$AB$4:$AB$9)+SUMIF($AD$4:$AD$9,AN4,$AF$4:$AF$9)</f>
        <v>2</v>
      </c>
      <c r="AQ4" s="72">
        <f>SUMIF($AD$4:$AD$9,AN4,$AG$4:$AG$9)+SUMIF($Z$4:$Z$9,AN4,$AC$4:$AC$9)</f>
        <v>1</v>
      </c>
      <c r="AR4" s="72">
        <f>AP4-AQ4</f>
        <v>1</v>
      </c>
      <c r="AT4" s="72">
        <v>1</v>
      </c>
      <c r="AU4" s="72" t="str">
        <f>VLOOKUP($AT4,$AI$4:$AR$7,6,FALSE)</f>
        <v>Qatar</v>
      </c>
      <c r="AV4" s="72">
        <f>VLOOKUP($AU4,$AN$4:$AR$7,2,FALSE)</f>
        <v>6</v>
      </c>
      <c r="AW4" s="72">
        <f t="shared" ref="AW4:AW7" si="4">VLOOKUP($AU4,$AN$4:$AR$7,3,FALSE)</f>
        <v>2</v>
      </c>
      <c r="AX4" s="72">
        <f>VLOOKUP($AU4,$AN$4:$AR$7,4,FALSE)</f>
        <v>1</v>
      </c>
      <c r="AY4" s="72">
        <f>VLOOKUP($AU4,$AN$4:$AR$7,5,FALSE)</f>
        <v>1</v>
      </c>
      <c r="AZ4" s="177"/>
      <c r="BA4" s="180"/>
      <c r="BB4" s="177"/>
      <c r="BC4" s="181"/>
      <c r="BD4" s="177"/>
      <c r="BE4" s="181"/>
      <c r="BF4" s="181"/>
      <c r="BG4" s="181"/>
      <c r="BH4" s="181"/>
      <c r="BI4" s="178"/>
      <c r="BJ4" s="94"/>
      <c r="BK4" s="88"/>
      <c r="BL4" s="89"/>
      <c r="BM4" s="197"/>
      <c r="BN4" s="181"/>
      <c r="BO4" s="49"/>
    </row>
    <row r="5" spans="2:67" ht="14.25" customHeight="1" x14ac:dyDescent="0.25">
      <c r="B5" s="16">
        <v>2</v>
      </c>
      <c r="C5" s="95">
        <v>44886</v>
      </c>
      <c r="D5" s="84" t="s">
        <v>151</v>
      </c>
      <c r="E5" s="85" t="s">
        <v>6</v>
      </c>
      <c r="F5" s="86" t="s">
        <v>159</v>
      </c>
      <c r="G5" s="62">
        <v>1</v>
      </c>
      <c r="H5" s="87" t="s">
        <v>6</v>
      </c>
      <c r="I5" s="62">
        <v>0</v>
      </c>
      <c r="J5" s="64">
        <f t="shared" ref="J5:J9" si="5">IF(OR(ISBLANK(G5),ISBLANK(I5)),"",IF(G5&gt;I5,1,IF(G5&lt;I5,2,"X")))</f>
        <v>1</v>
      </c>
      <c r="K5" s="63">
        <f>IF(OR(G5="",I5="",'Resultat &amp; tabell'!G5="",'Resultat &amp; tabell'!I5=""),0,IF(G5='Resultat &amp; tabell'!G5,2,0)+IF(I5='Resultat &amp; tabell'!I5,2,0)+IF(J5='Resultat &amp; tabell'!J5,3,0))</f>
        <v>0</v>
      </c>
      <c r="L5" s="2">
        <v>2</v>
      </c>
      <c r="M5" s="17" t="str">
        <f>VLOOKUP(L5,AT4:AY7,2,FALSE)</f>
        <v>Nederländerna</v>
      </c>
      <c r="N5" s="18">
        <f>VLOOKUP(M5,$AU$4:$AY$7,2,FALSE)</f>
        <v>6</v>
      </c>
      <c r="O5" s="18">
        <f>VLOOKUP(M5,$AU$4:$AY$7,3,FALSE)</f>
        <v>2</v>
      </c>
      <c r="P5" s="18">
        <f>VLOOKUP(M5,$AU$4:$AY$7,4,FALSE)</f>
        <v>1</v>
      </c>
      <c r="Q5" s="19">
        <f>VLOOKUP(M5,$AU$4:$AY$7,5,FALSE)</f>
        <v>1</v>
      </c>
      <c r="S5" s="16" t="s">
        <v>108</v>
      </c>
      <c r="T5" s="222" t="s">
        <v>60</v>
      </c>
      <c r="U5" s="223"/>
      <c r="V5" s="223"/>
      <c r="W5" s="224"/>
      <c r="X5" s="51">
        <f>IF(AND('Resultat &amp; tabell'!S5&gt;0,T5='Resultat &amp; tabell'!S5,T5&lt;&gt;""),20,0)</f>
        <v>0</v>
      </c>
      <c r="Z5" s="88" t="str">
        <f t="shared" ref="Z5:Z9" si="6">D5</f>
        <v>Senegal</v>
      </c>
      <c r="AA5" s="89">
        <f t="shared" ref="AA5:AA9" si="7">IF(G5="",0,IF($G5&lt;$I5,0,IF($G5=$I5,1,3)))</f>
        <v>3</v>
      </c>
      <c r="AB5" s="89">
        <f t="shared" si="0"/>
        <v>1</v>
      </c>
      <c r="AC5" s="89">
        <f t="shared" si="1"/>
        <v>0</v>
      </c>
      <c r="AD5" s="88" t="str">
        <f t="shared" ref="AD5:AD9" si="8">F5</f>
        <v>Nederländerna</v>
      </c>
      <c r="AE5" s="89">
        <f t="shared" ref="AE5:AE9" si="9">IF(I5="",0,IF(I5&lt;G5,0,IF(G5=I5,1,3)))</f>
        <v>0</v>
      </c>
      <c r="AF5" s="73">
        <f t="shared" si="2"/>
        <v>0</v>
      </c>
      <c r="AG5" s="73">
        <f t="shared" si="3"/>
        <v>1</v>
      </c>
      <c r="AI5" s="72">
        <f>RANK($AJ5,$AJ$4:$AJ$7,1)+COUNTIF($AJ$4:$AJ5,$AJ5)-1</f>
        <v>3</v>
      </c>
      <c r="AJ5" s="72">
        <f t="shared" ref="AJ5:AJ7" si="10">AK5+AL5+AM5</f>
        <v>3</v>
      </c>
      <c r="AK5" s="72">
        <f t="shared" ref="AK5:AK7" si="11">SUMPRODUCT(($AO$4:$AO$7=AO5)*($AR$4:$AR$7=AR5)*($AP$4:$AP$7&gt;AP5))</f>
        <v>0</v>
      </c>
      <c r="AL5" s="72">
        <f t="shared" ref="AL5:AL7" si="12">SUMPRODUCT(($AO$4:$AO$7=AO5)*($AR$4:$AR$7&gt;AR5))</f>
        <v>0</v>
      </c>
      <c r="AM5" s="72">
        <f t="shared" ref="AM5:AM7" si="13">RANK(AO5,$AO$4:$AO$7)</f>
        <v>3</v>
      </c>
      <c r="AN5" s="88" t="s">
        <v>57</v>
      </c>
      <c r="AO5" s="72">
        <f t="shared" ref="AO5:AO7" si="14">SUMIF($Z$4:$Z$9,$AN5,$AA$4:$AA$9)+SUMIF($AD$4:$AD$9,$AN5,$AE$4:$AE$9)</f>
        <v>3</v>
      </c>
      <c r="AP5" s="72">
        <f>SUMIF($Z$4:$Z$9,AN5,$AB$4:$AB$9)+SUMIF($AD$4:$AD$9,AN5,$AF$4:$AF$9)</f>
        <v>1</v>
      </c>
      <c r="AQ5" s="72">
        <f t="shared" ref="AQ5:AQ7" si="15">SUMIF($AD$4:$AD$9,AN5,$AG$4:$AG$9)+SUMIF($Z$4:$Z$9,AN5,$AC$4:$AC$9)</f>
        <v>2</v>
      </c>
      <c r="AR5" s="72">
        <f t="shared" ref="AR5:AR7" si="16">AP5-AQ5</f>
        <v>-1</v>
      </c>
      <c r="AT5" s="72">
        <v>2</v>
      </c>
      <c r="AU5" s="72" t="str">
        <f t="shared" ref="AU5:AU7" si="17">VLOOKUP($AT5,$AI$4:$AR$7,6,FALSE)</f>
        <v>Nederländerna</v>
      </c>
      <c r="AV5" s="72">
        <f t="shared" ref="AV5:AV7" si="18">VLOOKUP($AU5,$AN$4:$AR$7,2,FALSE)</f>
        <v>6</v>
      </c>
      <c r="AW5" s="72">
        <f t="shared" si="4"/>
        <v>2</v>
      </c>
      <c r="AX5" s="72">
        <f t="shared" ref="AX5:AX7" si="19">VLOOKUP($AU5,$AN$4:$AR$7,4,FALSE)</f>
        <v>1</v>
      </c>
      <c r="AY5" s="72">
        <f t="shared" ref="AY5:AY7" si="20">VLOOKUP($AU5,$AN$4:$AR$7,5,FALSE)</f>
        <v>1</v>
      </c>
      <c r="AZ5" s="177"/>
      <c r="BA5" s="182"/>
      <c r="BB5" s="177"/>
      <c r="BC5" s="181"/>
      <c r="BD5" s="177"/>
      <c r="BE5" s="181"/>
      <c r="BF5" s="181"/>
      <c r="BG5" s="181"/>
      <c r="BH5" s="181"/>
      <c r="BI5" s="178"/>
      <c r="BK5" s="88"/>
      <c r="BL5" s="198"/>
      <c r="BM5" s="197"/>
      <c r="BN5" s="181"/>
      <c r="BO5" s="49"/>
    </row>
    <row r="6" spans="2:67" ht="14.25" customHeight="1" x14ac:dyDescent="0.25">
      <c r="B6" s="16">
        <v>18</v>
      </c>
      <c r="C6" s="95">
        <v>44890</v>
      </c>
      <c r="D6" s="97" t="s">
        <v>200</v>
      </c>
      <c r="E6" s="85" t="s">
        <v>6</v>
      </c>
      <c r="F6" s="86" t="s">
        <v>151</v>
      </c>
      <c r="G6" s="62">
        <v>1</v>
      </c>
      <c r="H6" s="87" t="s">
        <v>6</v>
      </c>
      <c r="I6" s="62">
        <v>0</v>
      </c>
      <c r="J6" s="64">
        <f t="shared" si="5"/>
        <v>1</v>
      </c>
      <c r="K6" s="63">
        <f>IF(OR(G6="",I6="",'Resultat &amp; tabell'!G6="",'Resultat &amp; tabell'!I6=""),0,IF(G6='Resultat &amp; tabell'!G6,2,0)+IF(I6='Resultat &amp; tabell'!I6,2,0)+IF(J6='Resultat &amp; tabell'!J6,3,0))</f>
        <v>0</v>
      </c>
      <c r="L6" s="2">
        <v>3</v>
      </c>
      <c r="M6" s="20" t="str">
        <f>VLOOKUP(L6,AT4:AY7,2,FALSE)</f>
        <v>Ecuador</v>
      </c>
      <c r="N6" s="14">
        <f>VLOOKUP(M6,$AU$4:$AY$7,2,FALSE)</f>
        <v>3</v>
      </c>
      <c r="O6" s="14">
        <f>VLOOKUP(M6,$AU$4:$AY$7,3,FALSE)</f>
        <v>1</v>
      </c>
      <c r="P6" s="14">
        <f>VLOOKUP(M6,$AU$4:$AY$7,4,FALSE)</f>
        <v>2</v>
      </c>
      <c r="Q6" s="15">
        <f>VLOOKUP(M6,$AU$4:$AY$7,5,FALSE)</f>
        <v>-1</v>
      </c>
      <c r="S6" s="16" t="s">
        <v>143</v>
      </c>
      <c r="T6" s="222" t="s">
        <v>160</v>
      </c>
      <c r="U6" s="223"/>
      <c r="V6" s="223"/>
      <c r="W6" s="224"/>
      <c r="X6" s="51">
        <f>IF(AND('Resultat &amp; tabell'!S6&gt;0,T6='Resultat &amp; tabell'!S6,T6&lt;&gt;""),10,0)</f>
        <v>0</v>
      </c>
      <c r="Z6" s="88" t="str">
        <f t="shared" si="6"/>
        <v>Qatar</v>
      </c>
      <c r="AA6" s="89">
        <f t="shared" si="7"/>
        <v>3</v>
      </c>
      <c r="AB6" s="89">
        <f t="shared" si="0"/>
        <v>1</v>
      </c>
      <c r="AC6" s="89">
        <f t="shared" si="1"/>
        <v>0</v>
      </c>
      <c r="AD6" s="88" t="str">
        <f t="shared" si="8"/>
        <v>Senegal</v>
      </c>
      <c r="AE6" s="89">
        <f t="shared" si="9"/>
        <v>0</v>
      </c>
      <c r="AF6" s="73">
        <f t="shared" si="2"/>
        <v>0</v>
      </c>
      <c r="AG6" s="73">
        <f t="shared" si="3"/>
        <v>1</v>
      </c>
      <c r="AI6" s="72">
        <f>RANK($AJ6,$AJ$4:$AJ$7,1)+COUNTIF($AJ$4:$AJ6,$AJ6)-1</f>
        <v>4</v>
      </c>
      <c r="AJ6" s="72">
        <f t="shared" si="10"/>
        <v>3</v>
      </c>
      <c r="AK6" s="72">
        <f t="shared" si="11"/>
        <v>0</v>
      </c>
      <c r="AL6" s="72">
        <f t="shared" si="12"/>
        <v>0</v>
      </c>
      <c r="AM6" s="72">
        <f t="shared" si="13"/>
        <v>3</v>
      </c>
      <c r="AN6" s="88" t="s">
        <v>151</v>
      </c>
      <c r="AO6" s="72">
        <f t="shared" si="14"/>
        <v>3</v>
      </c>
      <c r="AP6" s="72">
        <f>SUMIF($Z$4:$Z$9,AN6,$AB$4:$AB$9)+SUMIF($AD$4:$AD$9,AN6,$AF$4:$AF$9)</f>
        <v>1</v>
      </c>
      <c r="AQ6" s="72">
        <f t="shared" si="15"/>
        <v>2</v>
      </c>
      <c r="AR6" s="72">
        <f t="shared" si="16"/>
        <v>-1</v>
      </c>
      <c r="AT6" s="72">
        <v>3</v>
      </c>
      <c r="AU6" s="72" t="str">
        <f t="shared" si="17"/>
        <v>Ecuador</v>
      </c>
      <c r="AV6" s="72">
        <f t="shared" si="18"/>
        <v>3</v>
      </c>
      <c r="AW6" s="72">
        <f t="shared" si="4"/>
        <v>1</v>
      </c>
      <c r="AX6" s="72">
        <f t="shared" si="19"/>
        <v>2</v>
      </c>
      <c r="AY6" s="72">
        <f t="shared" si="20"/>
        <v>-1</v>
      </c>
      <c r="AZ6" s="177"/>
      <c r="BA6" s="182"/>
      <c r="BB6" s="177"/>
      <c r="BC6" s="181"/>
      <c r="BD6" s="177"/>
      <c r="BE6" s="181"/>
      <c r="BF6" s="181"/>
      <c r="BG6" s="181"/>
      <c r="BH6" s="181"/>
      <c r="BI6" s="178"/>
      <c r="BK6" s="88"/>
      <c r="BL6" s="198"/>
      <c r="BM6" s="197"/>
      <c r="BN6" s="181"/>
      <c r="BO6" s="49"/>
    </row>
    <row r="7" spans="2:67" ht="14.25" customHeight="1" x14ac:dyDescent="0.25">
      <c r="B7" s="16">
        <v>19</v>
      </c>
      <c r="C7" s="95">
        <v>44890</v>
      </c>
      <c r="D7" s="84" t="s">
        <v>159</v>
      </c>
      <c r="E7" s="85" t="s">
        <v>6</v>
      </c>
      <c r="F7" s="86" t="s">
        <v>57</v>
      </c>
      <c r="G7" s="62">
        <v>1</v>
      </c>
      <c r="H7" s="87" t="s">
        <v>6</v>
      </c>
      <c r="I7" s="62">
        <v>0</v>
      </c>
      <c r="J7" s="64">
        <f t="shared" si="5"/>
        <v>1</v>
      </c>
      <c r="K7" s="63">
        <f>IF(OR(G7="",I7="",'Resultat &amp; tabell'!G7="",'Resultat &amp; tabell'!I7=""),0,IF(G7='Resultat &amp; tabell'!G7,2,0)+IF(I7='Resultat &amp; tabell'!I7,2,0)+IF(J7='Resultat &amp; tabell'!J7,3,0))</f>
        <v>0</v>
      </c>
      <c r="L7" s="2">
        <v>4</v>
      </c>
      <c r="M7" s="21" t="str">
        <f>VLOOKUP(L7,AT4:AY7,2,FALSE)</f>
        <v>Senegal</v>
      </c>
      <c r="N7" s="18">
        <f>VLOOKUP(M7,$AU$4:$AY$7,2,FALSE)</f>
        <v>3</v>
      </c>
      <c r="O7" s="18">
        <f>VLOOKUP(M7,$AU$4:$AY$7,3,FALSE)</f>
        <v>1</v>
      </c>
      <c r="P7" s="18">
        <f>VLOOKUP(M7,$AU$4:$AY$7,4,FALSE)</f>
        <v>2</v>
      </c>
      <c r="Q7" s="19">
        <f>VLOOKUP(M7,$AU$4:$AY$7,5,FALSE)</f>
        <v>-1</v>
      </c>
      <c r="S7" s="22"/>
      <c r="T7" s="22"/>
      <c r="U7" s="22"/>
      <c r="V7" s="22"/>
      <c r="W7" s="5"/>
      <c r="Z7" s="88" t="str">
        <f t="shared" si="6"/>
        <v>Nederländerna</v>
      </c>
      <c r="AA7" s="89">
        <f t="shared" si="7"/>
        <v>3</v>
      </c>
      <c r="AB7" s="89">
        <f t="shared" si="0"/>
        <v>1</v>
      </c>
      <c r="AC7" s="89">
        <f t="shared" si="1"/>
        <v>0</v>
      </c>
      <c r="AD7" s="88" t="str">
        <f t="shared" si="8"/>
        <v>Ecuador</v>
      </c>
      <c r="AE7" s="89">
        <f t="shared" si="9"/>
        <v>0</v>
      </c>
      <c r="AF7" s="73">
        <f t="shared" si="2"/>
        <v>0</v>
      </c>
      <c r="AG7" s="73">
        <f t="shared" si="3"/>
        <v>1</v>
      </c>
      <c r="AI7" s="72">
        <f>RANK($AJ7,$AJ$4:$AJ$7,1)+COUNTIF($AJ$4:$AJ7,$AJ7)-1</f>
        <v>2</v>
      </c>
      <c r="AJ7" s="72">
        <f t="shared" si="10"/>
        <v>1</v>
      </c>
      <c r="AK7" s="72">
        <f t="shared" si="11"/>
        <v>0</v>
      </c>
      <c r="AL7" s="72">
        <f t="shared" si="12"/>
        <v>0</v>
      </c>
      <c r="AM7" s="72">
        <f t="shared" si="13"/>
        <v>1</v>
      </c>
      <c r="AN7" s="88" t="s">
        <v>159</v>
      </c>
      <c r="AO7" s="72">
        <f t="shared" si="14"/>
        <v>6</v>
      </c>
      <c r="AP7" s="72">
        <f>SUMIF($Z$4:$Z$9,AN7,$AB$4:$AB$9)+SUMIF($AD$4:$AD$9,AN7,$AF$4:$AF$9)</f>
        <v>2</v>
      </c>
      <c r="AQ7" s="72">
        <f t="shared" si="15"/>
        <v>1</v>
      </c>
      <c r="AR7" s="72">
        <f t="shared" si="16"/>
        <v>1</v>
      </c>
      <c r="AT7" s="72">
        <v>4</v>
      </c>
      <c r="AU7" s="72" t="str">
        <f t="shared" si="17"/>
        <v>Senegal</v>
      </c>
      <c r="AV7" s="72">
        <f t="shared" si="18"/>
        <v>3</v>
      </c>
      <c r="AW7" s="72">
        <f t="shared" si="4"/>
        <v>1</v>
      </c>
      <c r="AX7" s="72">
        <f t="shared" si="19"/>
        <v>2</v>
      </c>
      <c r="AY7" s="72">
        <f t="shared" si="20"/>
        <v>-1</v>
      </c>
      <c r="AZ7" s="177"/>
      <c r="BA7" s="182"/>
      <c r="BB7" s="177"/>
      <c r="BC7" s="181"/>
      <c r="BD7" s="177"/>
      <c r="BE7" s="181"/>
      <c r="BF7" s="181"/>
      <c r="BG7" s="181"/>
      <c r="BH7" s="181"/>
      <c r="BI7" s="178"/>
      <c r="BK7" s="177"/>
      <c r="BL7" s="181"/>
      <c r="BM7" s="181"/>
      <c r="BN7" s="181"/>
      <c r="BO7" s="49"/>
    </row>
    <row r="8" spans="2:67" ht="14.25" customHeight="1" x14ac:dyDescent="0.25">
      <c r="B8" s="16">
        <v>35</v>
      </c>
      <c r="C8" s="95">
        <v>44894</v>
      </c>
      <c r="D8" s="84" t="s">
        <v>57</v>
      </c>
      <c r="E8" s="85" t="s">
        <v>6</v>
      </c>
      <c r="F8" s="86" t="s">
        <v>151</v>
      </c>
      <c r="G8" s="62">
        <v>1</v>
      </c>
      <c r="H8" s="87" t="s">
        <v>6</v>
      </c>
      <c r="I8" s="62">
        <v>0</v>
      </c>
      <c r="J8" s="64">
        <f t="shared" si="5"/>
        <v>1</v>
      </c>
      <c r="K8" s="63">
        <f>IF(OR(G8="",I8="",'Resultat &amp; tabell'!G8="",'Resultat &amp; tabell'!I8=""),0,IF(G8='Resultat &amp; tabell'!G8,2,0)+IF(I8='Resultat &amp; tabell'!I8,2,0)+IF(J8='Resultat &amp; tabell'!J8,3,0))</f>
        <v>0</v>
      </c>
      <c r="M8" s="187">
        <f>COUNTBLANK(G4:G9)+COUNTBLANK(I4:I9)</f>
        <v>0</v>
      </c>
      <c r="N8" s="23"/>
      <c r="O8" s="23"/>
      <c r="P8" s="23"/>
      <c r="Q8" s="23"/>
      <c r="S8" s="22"/>
      <c r="T8" s="22"/>
      <c r="U8" s="22"/>
      <c r="V8" s="22"/>
      <c r="W8" s="5"/>
      <c r="Z8" s="88" t="str">
        <f t="shared" si="6"/>
        <v>Ecuador</v>
      </c>
      <c r="AA8" s="89">
        <f t="shared" si="7"/>
        <v>3</v>
      </c>
      <c r="AB8" s="89">
        <f t="shared" si="0"/>
        <v>1</v>
      </c>
      <c r="AC8" s="89">
        <f t="shared" si="1"/>
        <v>0</v>
      </c>
      <c r="AD8" s="88" t="str">
        <f t="shared" si="8"/>
        <v>Senegal</v>
      </c>
      <c r="AE8" s="89">
        <f t="shared" si="9"/>
        <v>0</v>
      </c>
      <c r="AF8" s="73">
        <f t="shared" si="2"/>
        <v>0</v>
      </c>
      <c r="AG8" s="73">
        <f t="shared" si="3"/>
        <v>1</v>
      </c>
      <c r="AZ8" s="177"/>
      <c r="BA8" s="182"/>
      <c r="BB8" s="177"/>
      <c r="BC8" s="181"/>
      <c r="BD8" s="177"/>
      <c r="BE8" s="181"/>
      <c r="BF8" s="181"/>
      <c r="BG8" s="181"/>
      <c r="BH8" s="181"/>
      <c r="BI8" s="178"/>
      <c r="BK8" s="184"/>
      <c r="BL8" s="181"/>
      <c r="BM8" s="181"/>
      <c r="BN8" s="181"/>
      <c r="BO8" s="49"/>
    </row>
    <row r="9" spans="2:67" ht="14.25" customHeight="1" x14ac:dyDescent="0.25">
      <c r="B9" s="98">
        <v>36</v>
      </c>
      <c r="C9" s="95">
        <v>44894</v>
      </c>
      <c r="D9" s="84" t="s">
        <v>159</v>
      </c>
      <c r="E9" s="85" t="s">
        <v>6</v>
      </c>
      <c r="F9" s="86" t="s">
        <v>200</v>
      </c>
      <c r="G9" s="62">
        <v>1</v>
      </c>
      <c r="H9" s="87" t="s">
        <v>6</v>
      </c>
      <c r="I9" s="62">
        <v>0</v>
      </c>
      <c r="J9" s="64">
        <f t="shared" si="5"/>
        <v>1</v>
      </c>
      <c r="K9" s="63">
        <f>IF(OR(G9="",I9="",'Resultat &amp; tabell'!G9="",'Resultat &amp; tabell'!I9=""),0,IF(G9='Resultat &amp; tabell'!G9,2,0)+IF(I9='Resultat &amp; tabell'!I9,2,0)+IF(J9='Resultat &amp; tabell'!J9,3,0))</f>
        <v>0</v>
      </c>
      <c r="N9" s="23"/>
      <c r="O9" s="23"/>
      <c r="P9" s="23"/>
      <c r="Q9" s="23"/>
      <c r="S9" s="22"/>
      <c r="T9" s="22"/>
      <c r="U9" s="22"/>
      <c r="V9" s="22"/>
      <c r="W9" s="5"/>
      <c r="Z9" s="88" t="str">
        <f t="shared" si="6"/>
        <v>Nederländerna</v>
      </c>
      <c r="AA9" s="89">
        <f t="shared" si="7"/>
        <v>3</v>
      </c>
      <c r="AB9" s="89">
        <f t="shared" si="0"/>
        <v>1</v>
      </c>
      <c r="AC9" s="89">
        <f t="shared" si="1"/>
        <v>0</v>
      </c>
      <c r="AD9" s="88" t="str">
        <f t="shared" si="8"/>
        <v>Qatar</v>
      </c>
      <c r="AE9" s="89">
        <f t="shared" si="9"/>
        <v>0</v>
      </c>
      <c r="AF9" s="73">
        <f t="shared" si="2"/>
        <v>0</v>
      </c>
      <c r="AG9" s="73">
        <f t="shared" si="3"/>
        <v>1</v>
      </c>
      <c r="AZ9" s="177"/>
      <c r="BA9" s="182"/>
      <c r="BB9" s="177"/>
      <c r="BC9" s="181"/>
      <c r="BD9" s="177"/>
      <c r="BE9" s="181"/>
      <c r="BF9" s="181"/>
      <c r="BG9" s="181"/>
      <c r="BH9" s="181"/>
      <c r="BI9" s="178"/>
      <c r="BK9" s="184"/>
      <c r="BL9" s="181"/>
      <c r="BM9" s="181"/>
      <c r="BN9" s="181"/>
      <c r="BO9" s="49"/>
    </row>
    <row r="10" spans="2:67" ht="14.25" customHeight="1" x14ac:dyDescent="0.3">
      <c r="C10" s="38"/>
      <c r="F10" s="101"/>
      <c r="J10" s="24"/>
      <c r="K10" s="24"/>
      <c r="N10" s="23"/>
      <c r="O10" s="23"/>
      <c r="P10" s="23"/>
      <c r="Q10" s="23"/>
      <c r="S10" s="22"/>
      <c r="T10" s="22"/>
      <c r="U10" s="22"/>
      <c r="V10" s="22"/>
      <c r="W10" s="5"/>
      <c r="AZ10" s="177"/>
      <c r="BA10" s="182"/>
      <c r="BB10" s="177"/>
      <c r="BC10" s="181"/>
      <c r="BD10" s="177"/>
      <c r="BE10" s="181"/>
      <c r="BF10" s="181"/>
      <c r="BG10" s="181"/>
      <c r="BH10" s="181"/>
      <c r="BI10" s="178"/>
      <c r="BK10" s="184"/>
      <c r="BL10" s="181"/>
      <c r="BM10" s="181"/>
      <c r="BN10" s="181"/>
      <c r="BO10" s="49"/>
    </row>
    <row r="11" spans="2:67" s="26" customFormat="1" ht="14.25" customHeight="1" x14ac:dyDescent="0.3">
      <c r="B11" s="6" t="s">
        <v>24</v>
      </c>
      <c r="C11" s="104"/>
      <c r="D11" s="117"/>
      <c r="E11" s="27"/>
      <c r="F11" s="105"/>
      <c r="G11" s="27"/>
      <c r="H11" s="27"/>
      <c r="I11" s="106"/>
      <c r="J11" s="101"/>
      <c r="K11" s="24"/>
      <c r="L11" s="25"/>
      <c r="N11" s="27"/>
      <c r="O11" s="27"/>
      <c r="P11" s="27"/>
      <c r="Q11" s="27"/>
      <c r="S11" s="26" t="s">
        <v>95</v>
      </c>
      <c r="Z11" s="70"/>
      <c r="AA11" s="89"/>
      <c r="AB11" s="89"/>
      <c r="AC11" s="89"/>
      <c r="AD11" s="70"/>
      <c r="AE11" s="107"/>
      <c r="AF11" s="108"/>
      <c r="AG11" s="108"/>
      <c r="AH11" s="107"/>
      <c r="AI11" s="72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75"/>
      <c r="BA11" s="183"/>
      <c r="BB11" s="175"/>
      <c r="BC11" s="201"/>
      <c r="BD11" s="175"/>
      <c r="BE11" s="201"/>
      <c r="BF11" s="201"/>
      <c r="BG11" s="181"/>
      <c r="BH11" s="201"/>
      <c r="BI11" s="201"/>
      <c r="BJ11" s="110"/>
      <c r="BK11" s="1"/>
      <c r="BL11" s="24"/>
      <c r="BM11" s="24"/>
      <c r="BN11" s="24"/>
      <c r="BO11" s="24"/>
    </row>
    <row r="12" spans="2:67" s="26" customFormat="1" ht="14.25" customHeight="1" x14ac:dyDescent="0.25">
      <c r="B12" s="111" t="s">
        <v>2</v>
      </c>
      <c r="C12" s="112" t="s">
        <v>3</v>
      </c>
      <c r="D12" s="207" t="s">
        <v>2</v>
      </c>
      <c r="E12" s="208"/>
      <c r="F12" s="209"/>
      <c r="G12" s="208" t="s">
        <v>4</v>
      </c>
      <c r="H12" s="208"/>
      <c r="I12" s="208"/>
      <c r="J12" s="28" t="s">
        <v>69</v>
      </c>
      <c r="K12" s="7" t="s">
        <v>75</v>
      </c>
      <c r="L12" s="25"/>
      <c r="M12" s="8" t="s">
        <v>24</v>
      </c>
      <c r="N12" s="202" t="s">
        <v>75</v>
      </c>
      <c r="O12" s="202" t="s">
        <v>76</v>
      </c>
      <c r="P12" s="202" t="s">
        <v>77</v>
      </c>
      <c r="Q12" s="10" t="s">
        <v>87</v>
      </c>
      <c r="S12" s="29" t="s">
        <v>71</v>
      </c>
      <c r="T12" s="202" t="s">
        <v>75</v>
      </c>
      <c r="U12" s="202" t="s">
        <v>88</v>
      </c>
      <c r="V12" s="10" t="s">
        <v>97</v>
      </c>
      <c r="Z12" s="81" t="s">
        <v>73</v>
      </c>
      <c r="AA12" s="81" t="s">
        <v>75</v>
      </c>
      <c r="AB12" s="81" t="s">
        <v>76</v>
      </c>
      <c r="AC12" s="81" t="s">
        <v>77</v>
      </c>
      <c r="AD12" s="81" t="s">
        <v>74</v>
      </c>
      <c r="AE12" s="81" t="s">
        <v>75</v>
      </c>
      <c r="AF12" s="81" t="s">
        <v>76</v>
      </c>
      <c r="AG12" s="81" t="s">
        <v>77</v>
      </c>
      <c r="AH12" s="107"/>
      <c r="AI12" s="82" t="s">
        <v>85</v>
      </c>
      <c r="AJ12" s="82" t="s">
        <v>84</v>
      </c>
      <c r="AK12" s="82" t="s">
        <v>83</v>
      </c>
      <c r="AL12" s="81" t="s">
        <v>82</v>
      </c>
      <c r="AM12" s="81" t="s">
        <v>81</v>
      </c>
      <c r="AN12" s="81" t="s">
        <v>78</v>
      </c>
      <c r="AO12" s="81" t="s">
        <v>75</v>
      </c>
      <c r="AP12" s="81" t="s">
        <v>76</v>
      </c>
      <c r="AQ12" s="81" t="s">
        <v>77</v>
      </c>
      <c r="AR12" s="82" t="s">
        <v>79</v>
      </c>
      <c r="AS12" s="107"/>
      <c r="AT12" s="81" t="s">
        <v>80</v>
      </c>
      <c r="AU12" s="81" t="s">
        <v>78</v>
      </c>
      <c r="AV12" s="81" t="s">
        <v>75</v>
      </c>
      <c r="AW12" s="81" t="s">
        <v>76</v>
      </c>
      <c r="AX12" s="81" t="s">
        <v>77</v>
      </c>
      <c r="AY12" s="82" t="s">
        <v>79</v>
      </c>
      <c r="AZ12" s="175"/>
      <c r="BA12" s="175"/>
      <c r="BB12" s="206"/>
      <c r="BC12" s="206"/>
      <c r="BD12" s="206"/>
      <c r="BE12" s="206"/>
      <c r="BF12" s="206"/>
      <c r="BG12" s="206"/>
      <c r="BH12" s="201"/>
      <c r="BI12" s="201"/>
      <c r="BJ12" s="110"/>
      <c r="BK12" s="114"/>
      <c r="BL12" s="24"/>
      <c r="BM12" s="24"/>
      <c r="BN12" s="24"/>
      <c r="BO12" s="24"/>
    </row>
    <row r="13" spans="2:67" ht="14.25" customHeight="1" x14ac:dyDescent="0.25">
      <c r="B13" s="16">
        <v>3</v>
      </c>
      <c r="C13" s="95">
        <v>44886</v>
      </c>
      <c r="D13" s="84" t="s">
        <v>54</v>
      </c>
      <c r="E13" s="85" t="s">
        <v>6</v>
      </c>
      <c r="F13" s="86" t="s">
        <v>61</v>
      </c>
      <c r="G13" s="62">
        <v>1</v>
      </c>
      <c r="H13" s="87" t="s">
        <v>6</v>
      </c>
      <c r="I13" s="62">
        <v>0</v>
      </c>
      <c r="J13" s="64">
        <f>IF(OR(ISBLANK(G13),ISBLANK(I13)),"",IF(G13&gt;I13,1,IF(G13&lt;I13,2,"X")))</f>
        <v>1</v>
      </c>
      <c r="K13" s="63">
        <f>IF(OR(G13="",I13="",'Resultat &amp; tabell'!G13="",'Resultat &amp; tabell'!I13=""),0,IF(G13='Resultat &amp; tabell'!G13,2,0)+IF(I13='Resultat &amp; tabell'!I13,2,0)+IF(J13='Resultat &amp; tabell'!J13,3,0))</f>
        <v>0</v>
      </c>
      <c r="L13" s="12">
        <v>1</v>
      </c>
      <c r="M13" s="13" t="str">
        <f>VLOOKUP(L13,AT13:AY16,2,FALSE)</f>
        <v>England</v>
      </c>
      <c r="N13" s="14">
        <f>VLOOKUP(M13,$AU$13:$AY$16,2,FALSE)</f>
        <v>6</v>
      </c>
      <c r="O13" s="14">
        <f>VLOOKUP(M13,$AU$13:$AY$16,3,FALSE)</f>
        <v>2</v>
      </c>
      <c r="P13" s="14">
        <f>VLOOKUP(M13,$AU$13:$AY$16,4,FALSE)</f>
        <v>1</v>
      </c>
      <c r="Q13" s="15">
        <f>VLOOKUP(M13,$AU$13:$AY$16,5,FALSE)</f>
        <v>1</v>
      </c>
      <c r="S13" s="30" t="s">
        <v>94</v>
      </c>
      <c r="T13" s="47">
        <f>SUM(K4:K72)</f>
        <v>0</v>
      </c>
      <c r="U13" s="47">
        <v>0</v>
      </c>
      <c r="V13" s="48">
        <f t="shared" ref="V13:V18" si="21">SUM(T13:U13)</f>
        <v>0</v>
      </c>
      <c r="W13" s="5"/>
      <c r="Z13" s="88" t="str">
        <f>D13</f>
        <v>England</v>
      </c>
      <c r="AA13" s="89">
        <f t="shared" ref="AA13:AA18" si="22">IF(G13="",0,IF($G13&lt;$I13,0,IF($G13=$I13,1,3)))</f>
        <v>3</v>
      </c>
      <c r="AB13" s="89">
        <f t="shared" ref="AB13:AB18" si="23">G13</f>
        <v>1</v>
      </c>
      <c r="AC13" s="89">
        <f t="shared" ref="AC13:AC18" si="24">I13</f>
        <v>0</v>
      </c>
      <c r="AD13" s="88" t="str">
        <f>F13</f>
        <v>Iran</v>
      </c>
      <c r="AE13" s="89">
        <f t="shared" ref="AE13:AE18" si="25">IF(I13="",0,IF(I13&lt;G13,0,IF(G13=I13,1,3)))</f>
        <v>0</v>
      </c>
      <c r="AF13" s="73">
        <f t="shared" ref="AF13:AF18" si="26">I13</f>
        <v>0</v>
      </c>
      <c r="AG13" s="73">
        <f t="shared" ref="AG13:AG18" si="27">G13</f>
        <v>1</v>
      </c>
      <c r="AI13" s="72">
        <f>RANK($AJ13,$AJ$13:$AJ$16,1)+COUNTIF($AJ$13:$AJ13,$AJ13)-1</f>
        <v>1</v>
      </c>
      <c r="AJ13" s="72">
        <f>AK13+AL13+AM13</f>
        <v>1</v>
      </c>
      <c r="AK13" s="72">
        <f>SUMPRODUCT(($AO$13:$AO$16=AO13)*($AR$13:$AR$16=AR13)*($AP$13:$AP$16&gt;AP13))</f>
        <v>0</v>
      </c>
      <c r="AL13" s="72">
        <f>SUMPRODUCT(($AO$13:$AO$16=AO13)*($AR$13:$AR$16&gt;AR13))</f>
        <v>0</v>
      </c>
      <c r="AM13" s="72">
        <f>RANK(AO13,$AO$13:$AO$16)</f>
        <v>1</v>
      </c>
      <c r="AN13" s="88" t="s">
        <v>54</v>
      </c>
      <c r="AO13" s="72">
        <f>SUMIF($Z$13:$Z$18,$AN13,$AA$13:$AA$18)+SUMIF($AD$13:$AD$18,$AN13,$AE$13:$AE$18)</f>
        <v>6</v>
      </c>
      <c r="AP13" s="72">
        <f>SUMIF($Z$13:$Z$18,$AN13,$AB$13:$AB$18)+SUMIF($AD$13:$AD$18,$AN13,$AF$13:$AF$18)</f>
        <v>2</v>
      </c>
      <c r="AQ13" s="72">
        <f>SUMIF($Z$13:$Z$18,$AN13,$AC$13:$AC$18)+SUMIF($AD$13:$AD$18,$AN13,$AG$13:$AG$18)</f>
        <v>1</v>
      </c>
      <c r="AR13" s="72">
        <f>AP13-AQ13</f>
        <v>1</v>
      </c>
      <c r="AT13" s="72">
        <v>1</v>
      </c>
      <c r="AU13" s="72" t="str">
        <f>VLOOKUP($AT13,$AI$13:$AR$16,6,FALSE)</f>
        <v>England</v>
      </c>
      <c r="AV13" s="72">
        <f>VLOOKUP($AU13,$AN$13:$AR$16,2,FALSE)</f>
        <v>6</v>
      </c>
      <c r="AW13" s="72">
        <f>VLOOKUP($AU13,$AN$13:$AR$16,3,FALSE)</f>
        <v>2</v>
      </c>
      <c r="AX13" s="72">
        <f>VLOOKUP($AU13,$AN$13:$AR$16,4,FALSE)</f>
        <v>1</v>
      </c>
      <c r="AY13" s="72">
        <f>VLOOKUP($AU13,$AN$13:$AR$16,5,FALSE)</f>
        <v>1</v>
      </c>
      <c r="AZ13" s="177"/>
      <c r="BA13" s="182"/>
      <c r="BB13" s="177"/>
      <c r="BC13" s="181"/>
      <c r="BD13" s="177"/>
      <c r="BE13" s="181"/>
      <c r="BF13" s="181"/>
      <c r="BG13" s="181"/>
      <c r="BH13" s="181"/>
      <c r="BI13" s="178"/>
      <c r="BJ13" s="94"/>
      <c r="BK13" s="74"/>
      <c r="BL13" s="49"/>
      <c r="BM13" s="49"/>
      <c r="BN13" s="49"/>
      <c r="BO13" s="49"/>
    </row>
    <row r="14" spans="2:67" ht="14.25" customHeight="1" x14ac:dyDescent="0.25">
      <c r="B14" s="16">
        <v>4</v>
      </c>
      <c r="C14" s="95">
        <v>44886</v>
      </c>
      <c r="D14" s="84" t="s">
        <v>66</v>
      </c>
      <c r="E14" s="85" t="s">
        <v>6</v>
      </c>
      <c r="F14" s="86" t="s">
        <v>160</v>
      </c>
      <c r="G14" s="62">
        <v>1</v>
      </c>
      <c r="H14" s="87" t="s">
        <v>6</v>
      </c>
      <c r="I14" s="62">
        <v>0</v>
      </c>
      <c r="J14" s="64">
        <f t="shared" ref="J14:J18" si="28">IF(OR(ISBLANK(G14),ISBLANK(I14)),"",IF(G14&gt;I14,1,IF(G14&lt;I14,2,"X")))</f>
        <v>1</v>
      </c>
      <c r="K14" s="63">
        <f>IF(OR(G14="",I14="",'Resultat &amp; tabell'!G14="",'Resultat &amp; tabell'!I14=""),0,IF(G14='Resultat &amp; tabell'!G14,2,0)+IF(I14='Resultat &amp; tabell'!I14,2,0)+IF(J14='Resultat &amp; tabell'!J14,3,0))</f>
        <v>0</v>
      </c>
      <c r="L14" s="2">
        <v>2</v>
      </c>
      <c r="M14" s="17" t="str">
        <f>VLOOKUP(L14,AT13:AY16,2,FALSE)</f>
        <v>Wales</v>
      </c>
      <c r="N14" s="18">
        <f>VLOOKUP(M14,$AU$13:$AY$16,2,FALSE)</f>
        <v>6</v>
      </c>
      <c r="O14" s="18">
        <f>VLOOKUP(M14,$AU$13:$AY$16,3,FALSE)</f>
        <v>2</v>
      </c>
      <c r="P14" s="18">
        <f>VLOOKUP(M14,$AU$13:$AY$16,4,FALSE)</f>
        <v>1</v>
      </c>
      <c r="Q14" s="19">
        <f>VLOOKUP(M14,$AU$13:$AY$16,5,FALSE)</f>
        <v>1</v>
      </c>
      <c r="S14" s="31" t="s">
        <v>1</v>
      </c>
      <c r="T14" s="49">
        <f>SUM(K76:K83)</f>
        <v>0</v>
      </c>
      <c r="U14" s="49">
        <f>P76</f>
        <v>0</v>
      </c>
      <c r="V14" s="50">
        <f t="shared" si="21"/>
        <v>0</v>
      </c>
      <c r="W14" s="5"/>
      <c r="Z14" s="88" t="str">
        <f t="shared" ref="Z14:Z18" si="29">D14</f>
        <v>USA</v>
      </c>
      <c r="AA14" s="89">
        <f t="shared" si="22"/>
        <v>3</v>
      </c>
      <c r="AB14" s="89">
        <f t="shared" si="23"/>
        <v>1</v>
      </c>
      <c r="AC14" s="89">
        <f t="shared" si="24"/>
        <v>0</v>
      </c>
      <c r="AD14" s="88" t="str">
        <f t="shared" ref="AD14:AD18" si="30">F14</f>
        <v>Wales</v>
      </c>
      <c r="AE14" s="89">
        <f t="shared" si="25"/>
        <v>0</v>
      </c>
      <c r="AF14" s="73">
        <f t="shared" si="26"/>
        <v>0</v>
      </c>
      <c r="AG14" s="73">
        <f t="shared" si="27"/>
        <v>1</v>
      </c>
      <c r="AI14" s="72">
        <f>RANK($AJ14,$AJ$13:$AJ$16,1)+COUNTIF($AJ$13:$AJ14,$AJ14)-1</f>
        <v>3</v>
      </c>
      <c r="AJ14" s="72">
        <f>AK14+AL14+AM14</f>
        <v>3</v>
      </c>
      <c r="AK14" s="72">
        <f>SUMPRODUCT(($AO$13:$AO$16=AO14)*($AR$13:$AR$16=AR14)*($AP$13:$AP$16&gt;AP14))</f>
        <v>0</v>
      </c>
      <c r="AL14" s="72">
        <f>SUMPRODUCT(($AO$13:$AO$16=AO14)*($AR$13:$AR$16&gt;AR14))</f>
        <v>0</v>
      </c>
      <c r="AM14" s="72">
        <f>RANK(AO14,$AO$13:$AO$16)</f>
        <v>3</v>
      </c>
      <c r="AN14" s="88" t="s">
        <v>61</v>
      </c>
      <c r="AO14" s="72">
        <f>SUMIF($Z$13:$Z$18,$AN14,$AA$13:$AA$18)+SUMIF($AD$13:$AD$18,$AN14,$AE$13:$AE$18)</f>
        <v>3</v>
      </c>
      <c r="AP14" s="72">
        <f>SUMIF($Z$13:$Z$18,$AN14,$AB$13:$AB$18)+SUMIF($AD$13:$AD$18,AN14,$AF$13:$AF$18)</f>
        <v>1</v>
      </c>
      <c r="AQ14" s="72">
        <f>SUMIF($Z$13:$Z$18,$AN14,$AC$13:$AC$18)+SUMIF($AD$13:$AD$18,$AN14,$AG$13:$AG$18)</f>
        <v>2</v>
      </c>
      <c r="AR14" s="72">
        <f>AP14-AQ14</f>
        <v>-1</v>
      </c>
      <c r="AT14" s="72">
        <v>2</v>
      </c>
      <c r="AU14" s="72" t="str">
        <f>VLOOKUP($AT14,$AI$13:$AR$16,6,FALSE)</f>
        <v>Wales</v>
      </c>
      <c r="AV14" s="72">
        <f>VLOOKUP($AU14,$AN$13:$AR$16,2,FALSE)</f>
        <v>6</v>
      </c>
      <c r="AW14" s="72">
        <f>VLOOKUP($AU14,$AN$13:$AR$16,3,FALSE)</f>
        <v>2</v>
      </c>
      <c r="AX14" s="72">
        <f>VLOOKUP($AU14,$AN$13:$AR$16,4,FALSE)</f>
        <v>1</v>
      </c>
      <c r="AY14" s="72">
        <f>VLOOKUP($AU14,$AN$13:$AR$16,5,FALSE)</f>
        <v>1</v>
      </c>
      <c r="AZ14" s="177"/>
      <c r="BA14" s="182"/>
      <c r="BB14" s="177"/>
      <c r="BC14" s="181"/>
      <c r="BD14" s="177"/>
      <c r="BE14" s="181"/>
      <c r="BF14" s="181"/>
      <c r="BG14" s="181"/>
      <c r="BH14" s="181"/>
      <c r="BI14" s="178"/>
      <c r="BK14" s="74"/>
      <c r="BL14" s="49"/>
      <c r="BM14" s="49"/>
      <c r="BN14" s="49"/>
      <c r="BO14" s="49"/>
    </row>
    <row r="15" spans="2:67" ht="14.25" customHeight="1" x14ac:dyDescent="0.25">
      <c r="B15" s="16">
        <v>17</v>
      </c>
      <c r="C15" s="95">
        <v>44890</v>
      </c>
      <c r="D15" s="84" t="s">
        <v>160</v>
      </c>
      <c r="E15" s="85" t="s">
        <v>6</v>
      </c>
      <c r="F15" s="86" t="s">
        <v>61</v>
      </c>
      <c r="G15" s="62">
        <v>1</v>
      </c>
      <c r="H15" s="87" t="s">
        <v>6</v>
      </c>
      <c r="I15" s="62">
        <v>0</v>
      </c>
      <c r="J15" s="64">
        <f t="shared" si="28"/>
        <v>1</v>
      </c>
      <c r="K15" s="63">
        <f>IF(OR(G15="",I15="",'Resultat &amp; tabell'!G15="",'Resultat &amp; tabell'!I15=""),0,IF(G15='Resultat &amp; tabell'!G15,2,0)+IF(I15='Resultat &amp; tabell'!I15,2,0)+IF(J15='Resultat &amp; tabell'!J15,3,0))</f>
        <v>0</v>
      </c>
      <c r="L15" s="2">
        <v>3</v>
      </c>
      <c r="M15" s="20" t="str">
        <f>VLOOKUP(L15,AT13:AY16,2,FALSE)</f>
        <v>Iran</v>
      </c>
      <c r="N15" s="32">
        <f>VLOOKUP(M15,$AU$13:$AY$16,2,FALSE)</f>
        <v>3</v>
      </c>
      <c r="O15" s="32">
        <f>VLOOKUP(M15,$AU$13:$AY$16,3,FALSE)</f>
        <v>1</v>
      </c>
      <c r="P15" s="32">
        <f>VLOOKUP(M15,$AU$13:$AY$16,4,FALSE)</f>
        <v>2</v>
      </c>
      <c r="Q15" s="33">
        <f>VLOOKUP(M15,$AU$13:$AY$16,5,FALSE)</f>
        <v>-1</v>
      </c>
      <c r="S15" s="31" t="s">
        <v>28</v>
      </c>
      <c r="T15" s="49">
        <f>SUM(K87:K90)</f>
        <v>0</v>
      </c>
      <c r="U15" s="49">
        <f>P87</f>
        <v>0</v>
      </c>
      <c r="V15" s="50">
        <f t="shared" si="21"/>
        <v>0</v>
      </c>
      <c r="W15" s="5"/>
      <c r="Z15" s="88" t="str">
        <f t="shared" si="29"/>
        <v>Wales</v>
      </c>
      <c r="AA15" s="89">
        <f t="shared" si="22"/>
        <v>3</v>
      </c>
      <c r="AB15" s="89">
        <f t="shared" si="23"/>
        <v>1</v>
      </c>
      <c r="AC15" s="89">
        <f t="shared" si="24"/>
        <v>0</v>
      </c>
      <c r="AD15" s="88" t="str">
        <f t="shared" si="30"/>
        <v>Iran</v>
      </c>
      <c r="AE15" s="89">
        <f t="shared" si="25"/>
        <v>0</v>
      </c>
      <c r="AF15" s="73">
        <f t="shared" si="26"/>
        <v>0</v>
      </c>
      <c r="AG15" s="73">
        <f t="shared" si="27"/>
        <v>1</v>
      </c>
      <c r="AI15" s="72">
        <f>RANK($AJ15,$AJ$13:$AJ$16,1)+COUNTIF($AJ$13:$AJ15,$AJ15)-1</f>
        <v>4</v>
      </c>
      <c r="AJ15" s="72">
        <f>AK15+AL15+AM15</f>
        <v>3</v>
      </c>
      <c r="AK15" s="72">
        <f>SUMPRODUCT(($AO$13:$AO$16=AO15)*($AR$13:$AR$16=AR15)*($AP$13:$AP$16&gt;AP15))</f>
        <v>0</v>
      </c>
      <c r="AL15" s="72">
        <f>SUMPRODUCT(($AO$13:$AO$16=AO15)*($AR$13:$AR$16&gt;AR15))</f>
        <v>0</v>
      </c>
      <c r="AM15" s="72">
        <f>RANK(AO15,$AO$13:$AO$16)</f>
        <v>3</v>
      </c>
      <c r="AN15" s="88" t="s">
        <v>66</v>
      </c>
      <c r="AO15" s="72">
        <f>SUMIF($Z$13:$Z$18,$AN15,$AA$13:$AA$18)+SUMIF($AD$13:$AD$18,$AN15,$AE$13:$AE$18)</f>
        <v>3</v>
      </c>
      <c r="AP15" s="72">
        <f>SUMIF($Z$13:$Z$18,$AN15,$AB$13:$AB$18)+SUMIF($AD$13:$AD$18,AN15,$AF$13:$AF$18)</f>
        <v>1</v>
      </c>
      <c r="AQ15" s="72">
        <f>SUMIF($Z$13:$Z$18,$AN15,$AC$13:$AC$18)+SUMIF($AD$13:$AD$18,$AN15,$AG$13:$AG$18)</f>
        <v>2</v>
      </c>
      <c r="AR15" s="72">
        <f>AP15-AQ15</f>
        <v>-1</v>
      </c>
      <c r="AT15" s="72">
        <v>3</v>
      </c>
      <c r="AU15" s="72" t="str">
        <f>VLOOKUP($AT15,$AI$13:$AR$16,6,FALSE)</f>
        <v>Iran</v>
      </c>
      <c r="AV15" s="72">
        <f>VLOOKUP($AU15,$AN$13:$AR$16,2,FALSE)</f>
        <v>3</v>
      </c>
      <c r="AW15" s="72">
        <f>VLOOKUP($AU15,$AN$13:$AR$16,3,FALSE)</f>
        <v>1</v>
      </c>
      <c r="AX15" s="72">
        <f>VLOOKUP($AU15,$AN$13:$AR$16,4,FALSE)</f>
        <v>2</v>
      </c>
      <c r="AY15" s="72">
        <f>VLOOKUP($AU15,$AN$13:$AR$16,5,FALSE)</f>
        <v>-1</v>
      </c>
      <c r="AZ15" s="177"/>
      <c r="BA15" s="182"/>
      <c r="BB15" s="177"/>
      <c r="BC15" s="181"/>
      <c r="BD15" s="177"/>
      <c r="BE15" s="181"/>
      <c r="BF15" s="181"/>
      <c r="BG15" s="181"/>
      <c r="BH15" s="181"/>
      <c r="BI15" s="178"/>
      <c r="BK15" s="45"/>
      <c r="BL15" s="49"/>
      <c r="BM15" s="49"/>
      <c r="BN15" s="49"/>
      <c r="BO15" s="49"/>
    </row>
    <row r="16" spans="2:67" ht="14.25" customHeight="1" x14ac:dyDescent="0.25">
      <c r="B16" s="16">
        <v>20</v>
      </c>
      <c r="C16" s="95">
        <v>44890</v>
      </c>
      <c r="D16" s="84" t="s">
        <v>54</v>
      </c>
      <c r="E16" s="85" t="s">
        <v>6</v>
      </c>
      <c r="F16" s="86" t="s">
        <v>66</v>
      </c>
      <c r="G16" s="62">
        <v>1</v>
      </c>
      <c r="H16" s="87" t="s">
        <v>6</v>
      </c>
      <c r="I16" s="62">
        <v>0</v>
      </c>
      <c r="J16" s="64">
        <f t="shared" si="28"/>
        <v>1</v>
      </c>
      <c r="K16" s="63">
        <f>IF(OR(G16="",I16="",'Resultat &amp; tabell'!G16="",'Resultat &amp; tabell'!I16=""),0,IF(G16='Resultat &amp; tabell'!G16,2,0)+IF(I16='Resultat &amp; tabell'!I16,2,0)+IF(J16='Resultat &amp; tabell'!J16,3,0))</f>
        <v>0</v>
      </c>
      <c r="L16" s="2">
        <v>4</v>
      </c>
      <c r="M16" s="21" t="str">
        <f>VLOOKUP(L16,AT13:AY16,2,FALSE)</f>
        <v>USA</v>
      </c>
      <c r="N16" s="18">
        <f>VLOOKUP(M16,$AU$13:$AY$16,2,FALSE)</f>
        <v>3</v>
      </c>
      <c r="O16" s="18">
        <f>VLOOKUP(M16,$AU$13:$AY$16,3,FALSE)</f>
        <v>1</v>
      </c>
      <c r="P16" s="18">
        <f>VLOOKUP(M16,$AU$13:$AY$16,4,FALSE)</f>
        <v>2</v>
      </c>
      <c r="Q16" s="19">
        <f>VLOOKUP(M16,$AU$13:$AY$16,5,FALSE)</f>
        <v>-1</v>
      </c>
      <c r="S16" s="31" t="s">
        <v>39</v>
      </c>
      <c r="T16" s="49">
        <f>SUM(K94:K95)</f>
        <v>0</v>
      </c>
      <c r="U16" s="49">
        <f>P94</f>
        <v>0</v>
      </c>
      <c r="V16" s="50">
        <f t="shared" si="21"/>
        <v>0</v>
      </c>
      <c r="W16" s="5"/>
      <c r="Z16" s="88" t="str">
        <f t="shared" si="29"/>
        <v>England</v>
      </c>
      <c r="AA16" s="89">
        <f t="shared" si="22"/>
        <v>3</v>
      </c>
      <c r="AB16" s="89">
        <f t="shared" si="23"/>
        <v>1</v>
      </c>
      <c r="AC16" s="89">
        <f t="shared" si="24"/>
        <v>0</v>
      </c>
      <c r="AD16" s="88" t="str">
        <f t="shared" si="30"/>
        <v>USA</v>
      </c>
      <c r="AE16" s="89">
        <f t="shared" si="25"/>
        <v>0</v>
      </c>
      <c r="AF16" s="73">
        <f t="shared" si="26"/>
        <v>0</v>
      </c>
      <c r="AG16" s="73">
        <f t="shared" si="27"/>
        <v>1</v>
      </c>
      <c r="AI16" s="72">
        <f>RANK($AJ16,$AJ$13:$AJ$16,1)+COUNTIF($AJ$13:$AJ16,$AJ16)-1</f>
        <v>2</v>
      </c>
      <c r="AJ16" s="72">
        <f>AK16+AL16+AM16</f>
        <v>1</v>
      </c>
      <c r="AK16" s="72">
        <f>SUMPRODUCT(($AO$13:$AO$16=AO16)*($AR$13:$AR$16=AR16)*($AP$13:$AP$16&gt;AP16))</f>
        <v>0</v>
      </c>
      <c r="AL16" s="72">
        <f>SUMPRODUCT(($AO$13:$AO$16=AO16)*($AR$13:$AR$16&gt;AR16))</f>
        <v>0</v>
      </c>
      <c r="AM16" s="72">
        <f>RANK(AO16,$AO$13:$AO$16)</f>
        <v>1</v>
      </c>
      <c r="AN16" s="88" t="s">
        <v>160</v>
      </c>
      <c r="AO16" s="72">
        <f>SUMIF($Z$13:$Z$18,$AN16,$AA$13:$AA$18)+SUMIF($AD$13:$AD$18,$AN16,$AE$13:$AE$18)</f>
        <v>6</v>
      </c>
      <c r="AP16" s="72">
        <f>SUMIF($Z$13:$Z$18,$AN16,$AB$13:$AB$18)+SUMIF($AD$13:$AD$18,AN16,$AF$13:$AF$18)</f>
        <v>2</v>
      </c>
      <c r="AQ16" s="72">
        <f>SUMIF($Z$13:$Z$18,$AN16,$AC$13:$AC$18)+SUMIF($AD$13:$AD$18,$AN16,$AG$13:$AG$18)</f>
        <v>1</v>
      </c>
      <c r="AR16" s="72">
        <f>AP16-AQ16</f>
        <v>1</v>
      </c>
      <c r="AT16" s="72">
        <v>4</v>
      </c>
      <c r="AU16" s="72" t="str">
        <f>VLOOKUP($AT16,$AI$13:$AR$16,6,FALSE)</f>
        <v>USA</v>
      </c>
      <c r="AV16" s="72">
        <f>VLOOKUP($AU16,$AN$13:$AR$16,2,FALSE)</f>
        <v>3</v>
      </c>
      <c r="AW16" s="72">
        <f>VLOOKUP($AU16,$AN$13:$AR$16,3,FALSE)</f>
        <v>1</v>
      </c>
      <c r="AX16" s="72">
        <f>VLOOKUP($AU16,$AN$13:$AR$16,4,FALSE)</f>
        <v>2</v>
      </c>
      <c r="AY16" s="72">
        <f>VLOOKUP($AU16,$AN$13:$AR$16,5,FALSE)</f>
        <v>-1</v>
      </c>
      <c r="AZ16" s="177"/>
      <c r="BA16" s="182"/>
      <c r="BB16" s="177"/>
      <c r="BC16" s="181"/>
      <c r="BD16" s="177"/>
      <c r="BE16" s="181"/>
      <c r="BF16" s="181"/>
      <c r="BG16" s="181"/>
      <c r="BH16" s="181"/>
      <c r="BI16" s="178"/>
      <c r="BK16" s="45"/>
      <c r="BL16" s="49"/>
      <c r="BM16" s="49"/>
      <c r="BN16" s="49"/>
      <c r="BO16" s="49"/>
    </row>
    <row r="17" spans="2:67" ht="14.25" customHeight="1" x14ac:dyDescent="0.25">
      <c r="B17" s="16">
        <v>33</v>
      </c>
      <c r="C17" s="95">
        <v>44894</v>
      </c>
      <c r="D17" s="84" t="s">
        <v>160</v>
      </c>
      <c r="E17" s="85" t="s">
        <v>6</v>
      </c>
      <c r="F17" s="86" t="s">
        <v>54</v>
      </c>
      <c r="G17" s="62">
        <v>1</v>
      </c>
      <c r="H17" s="87" t="s">
        <v>6</v>
      </c>
      <c r="I17" s="62">
        <v>0</v>
      </c>
      <c r="J17" s="64">
        <f t="shared" si="28"/>
        <v>1</v>
      </c>
      <c r="K17" s="63">
        <f>IF(OR(G17="",I17="",'Resultat &amp; tabell'!G17="",'Resultat &amp; tabell'!I17=""),0,IF(G17='Resultat &amp; tabell'!G17,2,0)+IF(I17='Resultat &amp; tabell'!I17,2,0)+IF(J17='Resultat &amp; tabell'!J17,3,0))</f>
        <v>0</v>
      </c>
      <c r="M17" s="187">
        <f>COUNTBLANK(G13:G18)+COUNTBLANK(I13:I18)</f>
        <v>0</v>
      </c>
      <c r="N17" s="23"/>
      <c r="O17" s="23"/>
      <c r="P17" s="23"/>
      <c r="Q17" s="23"/>
      <c r="S17" s="31" t="s">
        <v>45</v>
      </c>
      <c r="T17" s="49">
        <f>SUM(K99)</f>
        <v>0</v>
      </c>
      <c r="U17" s="49">
        <f>P99</f>
        <v>0</v>
      </c>
      <c r="V17" s="50">
        <f t="shared" si="21"/>
        <v>0</v>
      </c>
      <c r="W17" s="5"/>
      <c r="Z17" s="88" t="str">
        <f t="shared" si="29"/>
        <v>Wales</v>
      </c>
      <c r="AA17" s="89">
        <f t="shared" si="22"/>
        <v>3</v>
      </c>
      <c r="AB17" s="89">
        <f t="shared" si="23"/>
        <v>1</v>
      </c>
      <c r="AC17" s="89">
        <f t="shared" si="24"/>
        <v>0</v>
      </c>
      <c r="AD17" s="88" t="str">
        <f t="shared" si="30"/>
        <v>England</v>
      </c>
      <c r="AE17" s="89">
        <f t="shared" si="25"/>
        <v>0</v>
      </c>
      <c r="AF17" s="73">
        <f t="shared" si="26"/>
        <v>0</v>
      </c>
      <c r="AG17" s="73">
        <f t="shared" si="27"/>
        <v>1</v>
      </c>
      <c r="AZ17" s="177"/>
      <c r="BA17" s="182"/>
      <c r="BB17" s="177"/>
      <c r="BC17" s="181"/>
      <c r="BD17" s="177"/>
      <c r="BE17" s="181"/>
      <c r="BF17" s="181"/>
      <c r="BG17" s="181"/>
      <c r="BH17" s="181"/>
      <c r="BI17" s="178"/>
      <c r="BL17" s="49"/>
      <c r="BM17" s="49"/>
      <c r="BN17" s="49"/>
      <c r="BO17" s="49"/>
    </row>
    <row r="18" spans="2:67" ht="14.25" customHeight="1" x14ac:dyDescent="0.25">
      <c r="B18" s="16">
        <v>34</v>
      </c>
      <c r="C18" s="95">
        <v>44894</v>
      </c>
      <c r="D18" s="84" t="s">
        <v>61</v>
      </c>
      <c r="E18" s="85" t="s">
        <v>6</v>
      </c>
      <c r="F18" s="86" t="s">
        <v>66</v>
      </c>
      <c r="G18" s="62">
        <v>1</v>
      </c>
      <c r="H18" s="87" t="s">
        <v>6</v>
      </c>
      <c r="I18" s="62">
        <v>0</v>
      </c>
      <c r="J18" s="64">
        <f t="shared" si="28"/>
        <v>1</v>
      </c>
      <c r="K18" s="63">
        <f>IF(OR(G18="",I18="",'Resultat &amp; tabell'!G18="",'Resultat &amp; tabell'!I18=""),0,IF(G18='Resultat &amp; tabell'!G18,2,0)+IF(I18='Resultat &amp; tabell'!I18,2,0)+IF(J18='Resultat &amp; tabell'!J18,3,0))</f>
        <v>0</v>
      </c>
      <c r="M18" s="115"/>
      <c r="N18" s="23"/>
      <c r="O18" s="23"/>
      <c r="P18" s="23"/>
      <c r="Q18" s="23"/>
      <c r="S18" s="31" t="s">
        <v>49</v>
      </c>
      <c r="T18" s="49">
        <f>SUM(K103)</f>
        <v>0</v>
      </c>
      <c r="U18" s="49">
        <f>P103</f>
        <v>0</v>
      </c>
      <c r="V18" s="50">
        <f t="shared" si="21"/>
        <v>0</v>
      </c>
      <c r="W18" s="5"/>
      <c r="Z18" s="88" t="str">
        <f t="shared" si="29"/>
        <v>Iran</v>
      </c>
      <c r="AA18" s="89">
        <f t="shared" si="22"/>
        <v>3</v>
      </c>
      <c r="AB18" s="89">
        <f t="shared" si="23"/>
        <v>1</v>
      </c>
      <c r="AC18" s="89">
        <f t="shared" si="24"/>
        <v>0</v>
      </c>
      <c r="AD18" s="88" t="str">
        <f t="shared" si="30"/>
        <v>USA</v>
      </c>
      <c r="AE18" s="89">
        <f t="shared" si="25"/>
        <v>0</v>
      </c>
      <c r="AF18" s="73">
        <f t="shared" si="26"/>
        <v>0</v>
      </c>
      <c r="AG18" s="73">
        <f t="shared" si="27"/>
        <v>1</v>
      </c>
      <c r="AJ18" s="116"/>
      <c r="AZ18" s="177"/>
      <c r="BA18" s="182"/>
      <c r="BB18" s="177"/>
      <c r="BC18" s="181"/>
      <c r="BD18" s="177"/>
      <c r="BE18" s="181"/>
      <c r="BF18" s="181"/>
      <c r="BG18" s="181"/>
      <c r="BH18" s="181"/>
      <c r="BI18" s="178"/>
      <c r="BL18" s="49"/>
      <c r="BM18" s="49"/>
      <c r="BN18" s="49"/>
      <c r="BO18" s="49"/>
    </row>
    <row r="19" spans="2:67" ht="14.25" customHeight="1" x14ac:dyDescent="0.25">
      <c r="C19" s="38"/>
      <c r="E19" s="117"/>
      <c r="I19" s="115"/>
      <c r="J19" s="24"/>
      <c r="K19" s="24"/>
      <c r="M19" s="117"/>
      <c r="N19" s="23"/>
      <c r="O19" s="23"/>
      <c r="P19" s="23"/>
      <c r="Q19" s="23"/>
      <c r="S19" s="34" t="s">
        <v>70</v>
      </c>
      <c r="T19" s="49">
        <v>0</v>
      </c>
      <c r="U19" s="23">
        <f>SUM(X4:X6)</f>
        <v>0</v>
      </c>
      <c r="V19" s="50">
        <f>SUM(T19:U19)</f>
        <v>0</v>
      </c>
      <c r="W19" s="26"/>
      <c r="X19" s="26"/>
      <c r="AZ19" s="177"/>
      <c r="BA19" s="182"/>
      <c r="BB19" s="177"/>
      <c r="BC19" s="181"/>
      <c r="BD19" s="177"/>
      <c r="BE19" s="181"/>
      <c r="BF19" s="181"/>
      <c r="BG19" s="181"/>
      <c r="BH19" s="181"/>
      <c r="BI19" s="178"/>
      <c r="BL19" s="49"/>
      <c r="BM19" s="49"/>
      <c r="BN19" s="49"/>
      <c r="BO19" s="49"/>
    </row>
    <row r="20" spans="2:67" s="26" customFormat="1" ht="12.75" customHeight="1" x14ac:dyDescent="0.25">
      <c r="B20" s="6" t="s">
        <v>38</v>
      </c>
      <c r="C20" s="104"/>
      <c r="D20" s="117"/>
      <c r="E20" s="27"/>
      <c r="F20" s="117"/>
      <c r="G20" s="27"/>
      <c r="H20" s="27"/>
      <c r="I20" s="117"/>
      <c r="J20" s="117"/>
      <c r="K20" s="24"/>
      <c r="L20" s="25"/>
      <c r="N20" s="27"/>
      <c r="O20" s="27"/>
      <c r="P20" s="27"/>
      <c r="Q20" s="27"/>
      <c r="S20" s="59" t="s">
        <v>96</v>
      </c>
      <c r="T20" s="118"/>
      <c r="U20" s="118"/>
      <c r="V20" s="171">
        <f>SUM(V13:V19)</f>
        <v>0</v>
      </c>
      <c r="Z20" s="70"/>
      <c r="AA20" s="89"/>
      <c r="AB20" s="89"/>
      <c r="AC20" s="89"/>
      <c r="AD20" s="70"/>
      <c r="AE20" s="107"/>
      <c r="AF20" s="108"/>
      <c r="AG20" s="108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75"/>
      <c r="BA20" s="183"/>
      <c r="BB20" s="175"/>
      <c r="BC20" s="201"/>
      <c r="BD20" s="175"/>
      <c r="BE20" s="201"/>
      <c r="BF20" s="201"/>
      <c r="BG20" s="201"/>
      <c r="BH20" s="201"/>
      <c r="BI20" s="201"/>
      <c r="BJ20" s="110"/>
      <c r="BK20" s="1"/>
      <c r="BL20" s="24"/>
      <c r="BM20" s="24"/>
      <c r="BN20" s="24"/>
      <c r="BO20" s="24"/>
    </row>
    <row r="21" spans="2:67" s="26" customFormat="1" ht="14.25" customHeight="1" x14ac:dyDescent="0.25">
      <c r="B21" s="119" t="s">
        <v>2</v>
      </c>
      <c r="C21" s="112" t="s">
        <v>3</v>
      </c>
      <c r="D21" s="207" t="s">
        <v>2</v>
      </c>
      <c r="E21" s="208"/>
      <c r="F21" s="209"/>
      <c r="G21" s="208" t="s">
        <v>4</v>
      </c>
      <c r="H21" s="208"/>
      <c r="I21" s="208"/>
      <c r="J21" s="28" t="s">
        <v>69</v>
      </c>
      <c r="K21" s="7" t="s">
        <v>75</v>
      </c>
      <c r="L21" s="25"/>
      <c r="M21" s="8" t="s">
        <v>38</v>
      </c>
      <c r="N21" s="202" t="s">
        <v>75</v>
      </c>
      <c r="O21" s="202" t="s">
        <v>76</v>
      </c>
      <c r="P21" s="202" t="s">
        <v>77</v>
      </c>
      <c r="Q21" s="10" t="s">
        <v>87</v>
      </c>
      <c r="W21" s="120"/>
      <c r="Z21" s="81" t="s">
        <v>73</v>
      </c>
      <c r="AA21" s="81" t="s">
        <v>75</v>
      </c>
      <c r="AB21" s="81" t="s">
        <v>76</v>
      </c>
      <c r="AC21" s="81" t="s">
        <v>77</v>
      </c>
      <c r="AD21" s="81" t="s">
        <v>74</v>
      </c>
      <c r="AE21" s="81" t="s">
        <v>75</v>
      </c>
      <c r="AF21" s="81" t="s">
        <v>76</v>
      </c>
      <c r="AG21" s="81" t="s">
        <v>77</v>
      </c>
      <c r="AH21" s="107"/>
      <c r="AI21" s="82" t="s">
        <v>85</v>
      </c>
      <c r="AJ21" s="82" t="s">
        <v>84</v>
      </c>
      <c r="AK21" s="82" t="s">
        <v>83</v>
      </c>
      <c r="AL21" s="81" t="s">
        <v>82</v>
      </c>
      <c r="AM21" s="81" t="s">
        <v>81</v>
      </c>
      <c r="AN21" s="81" t="s">
        <v>78</v>
      </c>
      <c r="AO21" s="81" t="s">
        <v>75</v>
      </c>
      <c r="AP21" s="81" t="s">
        <v>76</v>
      </c>
      <c r="AQ21" s="81" t="s">
        <v>77</v>
      </c>
      <c r="AR21" s="82" t="s">
        <v>79</v>
      </c>
      <c r="AS21" s="107"/>
      <c r="AT21" s="81" t="s">
        <v>80</v>
      </c>
      <c r="AU21" s="81" t="s">
        <v>78</v>
      </c>
      <c r="AV21" s="81" t="s">
        <v>75</v>
      </c>
      <c r="AW21" s="81" t="s">
        <v>76</v>
      </c>
      <c r="AX21" s="81" t="s">
        <v>77</v>
      </c>
      <c r="AY21" s="82" t="s">
        <v>79</v>
      </c>
      <c r="AZ21" s="175"/>
      <c r="BA21" s="175"/>
      <c r="BB21" s="206"/>
      <c r="BC21" s="206"/>
      <c r="BD21" s="206"/>
      <c r="BE21" s="206"/>
      <c r="BF21" s="206"/>
      <c r="BG21" s="206"/>
      <c r="BH21" s="201"/>
      <c r="BI21" s="201"/>
      <c r="BJ21" s="110"/>
      <c r="BK21" s="114"/>
      <c r="BL21" s="24"/>
      <c r="BM21" s="24"/>
      <c r="BN21" s="24"/>
      <c r="BO21" s="24"/>
    </row>
    <row r="22" spans="2:67" ht="14.25" customHeight="1" x14ac:dyDescent="0.25">
      <c r="B22" s="16">
        <v>7</v>
      </c>
      <c r="C22" s="95">
        <v>44887</v>
      </c>
      <c r="D22" s="84" t="s">
        <v>10</v>
      </c>
      <c r="E22" s="85" t="s">
        <v>6</v>
      </c>
      <c r="F22" s="86" t="s">
        <v>150</v>
      </c>
      <c r="G22" s="62">
        <v>1</v>
      </c>
      <c r="H22" s="87" t="s">
        <v>6</v>
      </c>
      <c r="I22" s="62">
        <v>0</v>
      </c>
      <c r="J22" s="64">
        <f>IF(OR(ISBLANK(G22),ISBLANK(I22)),"",IF(G22&gt;I22,1,IF(G22&lt;I22,2,"X")))</f>
        <v>1</v>
      </c>
      <c r="K22" s="63">
        <f>IF(OR(G22="",I22="",'Resultat &amp; tabell'!G22="",'Resultat &amp; tabell'!I22=""),0,IF(G22='Resultat &amp; tabell'!G22,2,0)+IF(I22='Resultat &amp; tabell'!I22,2,0)+IF(J22='Resultat &amp; tabell'!J22,3,0))</f>
        <v>0</v>
      </c>
      <c r="L22" s="12">
        <v>1</v>
      </c>
      <c r="M22" s="13" t="str">
        <f>VLOOKUP(L22,AT22:AY25,2,FALSE)</f>
        <v>Argentina</v>
      </c>
      <c r="N22" s="14">
        <f>VLOOKUP(M22,$AU$22:$AY$25,2,FALSE)</f>
        <v>6</v>
      </c>
      <c r="O22" s="14">
        <f>VLOOKUP(M22,$AU$22:$AY$25,3,FALSE)</f>
        <v>2</v>
      </c>
      <c r="P22" s="14">
        <f>VLOOKUP(M22,$AU$22:$AY$25,4,FALSE)</f>
        <v>1</v>
      </c>
      <c r="Q22" s="15">
        <f>VLOOKUP(M22,$AU$22:$AY$25,5,FALSE)</f>
        <v>1</v>
      </c>
      <c r="S22" s="5"/>
      <c r="T22" s="5"/>
      <c r="U22" s="5"/>
      <c r="V22" s="5"/>
      <c r="W22" s="5"/>
      <c r="Z22" s="88" t="str">
        <f>D22</f>
        <v>Mexiko</v>
      </c>
      <c r="AA22" s="89">
        <f t="shared" ref="AA22:AA27" si="31">IF(G22="",0,IF($G22&lt;$I22,0,IF($G22=$I22,1,3)))</f>
        <v>3</v>
      </c>
      <c r="AB22" s="89">
        <f t="shared" ref="AB22:AB27" si="32">G22</f>
        <v>1</v>
      </c>
      <c r="AC22" s="89">
        <f t="shared" ref="AC22:AC27" si="33">I22</f>
        <v>0</v>
      </c>
      <c r="AD22" s="88" t="str">
        <f>F22</f>
        <v>Polen</v>
      </c>
      <c r="AE22" s="89">
        <f t="shared" ref="AE22:AE27" si="34">IF(I22="",0,IF(I22&lt;G22,0,IF(G22=I22,1,3)))</f>
        <v>0</v>
      </c>
      <c r="AF22" s="73">
        <f t="shared" ref="AF22:AF27" si="35">I22</f>
        <v>0</v>
      </c>
      <c r="AG22" s="73">
        <f t="shared" ref="AG22:AG27" si="36">G22</f>
        <v>1</v>
      </c>
      <c r="AI22" s="72">
        <f>RANK($AJ22,$AJ$22:$AJ$25,1)+COUNTIF($AJ$22:$AJ22,$AJ22)-1</f>
        <v>1</v>
      </c>
      <c r="AJ22" s="72">
        <f>AK22+AL22+AM22</f>
        <v>1</v>
      </c>
      <c r="AK22" s="72">
        <f>SUMPRODUCT(($AO$22:$AO$25=AO22)*($AR$22:$AR$25=AR22)*($AP$22:$AP$25&gt;AP22))</f>
        <v>0</v>
      </c>
      <c r="AL22" s="72">
        <f>SUMPRODUCT(($AO$22:$AO$25=AO22)*($AR$22:$AR$25&gt;AR22))</f>
        <v>0</v>
      </c>
      <c r="AM22" s="72">
        <f>RANK(AO22,$AO$22:$AO$25)</f>
        <v>1</v>
      </c>
      <c r="AN22" s="88" t="s">
        <v>60</v>
      </c>
      <c r="AO22" s="72">
        <f>SUMIF($Z$22:$Z$27,$AN22,$AA$22:$AA$27)+SUMIF($AD$22:$AD$27,$AN22,$AE$22:$AE$27)</f>
        <v>6</v>
      </c>
      <c r="AP22" s="72">
        <f>SUMIF($Z$22:$Z$27,$AN22,$AB$22:$AB$27)+SUMIF($AD$22:$AD$27,$AN22,$AF$22:$AF$27)</f>
        <v>2</v>
      </c>
      <c r="AQ22" s="72">
        <f>SUMIF($Z$22:$Z$27,$AN22,$AC$22:$AC$27)+SUMIF($AD$22:$AD$27,$AN22,$AG$22:$AG$27)</f>
        <v>1</v>
      </c>
      <c r="AR22" s="72">
        <f>AP22-AQ22</f>
        <v>1</v>
      </c>
      <c r="AT22" s="72">
        <v>1</v>
      </c>
      <c r="AU22" s="72" t="str">
        <f>VLOOKUP($AT22,$AI$22:$AR$25,6,FALSE)</f>
        <v>Argentina</v>
      </c>
      <c r="AV22" s="72">
        <f>VLOOKUP($AU22,$AN$22:$AR$25,2,FALSE)</f>
        <v>6</v>
      </c>
      <c r="AW22" s="72">
        <f>VLOOKUP($AU22,$AN$22:$AR$25,3,FALSE)</f>
        <v>2</v>
      </c>
      <c r="AX22" s="72">
        <f>VLOOKUP($AU22,$AN$22:$AR$25,4,FALSE)</f>
        <v>1</v>
      </c>
      <c r="AY22" s="72">
        <f>VLOOKUP($AU22,$AN$22:$AR$25,5,FALSE)</f>
        <v>1</v>
      </c>
      <c r="AZ22" s="177"/>
      <c r="BA22" s="182"/>
      <c r="BB22" s="177"/>
      <c r="BC22" s="181"/>
      <c r="BD22" s="177"/>
      <c r="BE22" s="181"/>
      <c r="BF22" s="181"/>
      <c r="BG22" s="181"/>
      <c r="BH22" s="181"/>
      <c r="BI22" s="178"/>
      <c r="BJ22" s="94"/>
      <c r="BK22" s="74"/>
      <c r="BL22" s="49"/>
      <c r="BM22" s="49"/>
      <c r="BN22" s="49"/>
      <c r="BO22" s="49"/>
    </row>
    <row r="23" spans="2:67" ht="14.25" customHeight="1" x14ac:dyDescent="0.25">
      <c r="B23" s="16">
        <v>8</v>
      </c>
      <c r="C23" s="95">
        <v>44887</v>
      </c>
      <c r="D23" s="84" t="s">
        <v>60</v>
      </c>
      <c r="E23" s="85" t="s">
        <v>6</v>
      </c>
      <c r="F23" s="86" t="s">
        <v>195</v>
      </c>
      <c r="G23" s="62">
        <v>1</v>
      </c>
      <c r="H23" s="87" t="s">
        <v>6</v>
      </c>
      <c r="I23" s="62">
        <v>0</v>
      </c>
      <c r="J23" s="64">
        <f t="shared" ref="J23:J27" si="37">IF(OR(ISBLANK(G23),ISBLANK(I23)),"",IF(G23&gt;I23,1,IF(G23&lt;I23,2,"X")))</f>
        <v>1</v>
      </c>
      <c r="K23" s="63">
        <f>IF(OR(G23="",I23="",'Resultat &amp; tabell'!G23="",'Resultat &amp; tabell'!I23=""),0,IF(G23='Resultat &amp; tabell'!G23,2,0)+IF(I23='Resultat &amp; tabell'!I23,2,0)+IF(J23='Resultat &amp; tabell'!J23,3,0))</f>
        <v>0</v>
      </c>
      <c r="L23" s="2">
        <v>2</v>
      </c>
      <c r="M23" s="17" t="str">
        <f>VLOOKUP(L23,AT22:AY25,2,FALSE)</f>
        <v>Polen</v>
      </c>
      <c r="N23" s="18">
        <f>VLOOKUP(M23,$AU$22:$AY$25,2,FALSE)</f>
        <v>6</v>
      </c>
      <c r="O23" s="18">
        <f>VLOOKUP(M23,$AU$22:$AY$25,3,FALSE)</f>
        <v>2</v>
      </c>
      <c r="P23" s="18">
        <f>VLOOKUP(M23,$AU$22:$AY$25,4,FALSE)</f>
        <v>1</v>
      </c>
      <c r="Q23" s="19">
        <f>VLOOKUP(M23,$AU$22:$AY$25,5,FALSE)</f>
        <v>1</v>
      </c>
      <c r="S23" s="5"/>
      <c r="T23" s="5"/>
      <c r="U23" s="5"/>
      <c r="V23" s="5"/>
      <c r="W23" s="5"/>
      <c r="Z23" s="88" t="str">
        <f t="shared" ref="Z23:Z27" si="38">D23</f>
        <v>Argentina</v>
      </c>
      <c r="AA23" s="89">
        <f t="shared" si="31"/>
        <v>3</v>
      </c>
      <c r="AB23" s="89">
        <f t="shared" si="32"/>
        <v>1</v>
      </c>
      <c r="AC23" s="89">
        <f t="shared" si="33"/>
        <v>0</v>
      </c>
      <c r="AD23" s="88" t="str">
        <f t="shared" ref="AD23:AD27" si="39">F23</f>
        <v>Saudiarabien</v>
      </c>
      <c r="AE23" s="89">
        <f t="shared" si="34"/>
        <v>0</v>
      </c>
      <c r="AF23" s="73">
        <f t="shared" si="35"/>
        <v>0</v>
      </c>
      <c r="AG23" s="73">
        <f t="shared" si="36"/>
        <v>1</v>
      </c>
      <c r="AI23" s="72">
        <f>RANK($AJ23,$AJ$22:$AJ$25,1)+COUNTIF($AJ$22:$AJ23,$AJ23)-1</f>
        <v>3</v>
      </c>
      <c r="AJ23" s="72">
        <f>AK23+AL23+AM23</f>
        <v>3</v>
      </c>
      <c r="AK23" s="72">
        <f t="shared" ref="AK23:AK25" si="40">SUMPRODUCT(($AO$22:$AO$25=AO23)*($AR$22:$AR$25=AR23)*($AP$22:$AP$25&gt;AP23))</f>
        <v>0</v>
      </c>
      <c r="AL23" s="72">
        <f t="shared" ref="AL23:AL25" si="41">SUMPRODUCT(($AO$22:$AO$25=AO23)*($AR$22:$AR$25&gt;AR23))</f>
        <v>0</v>
      </c>
      <c r="AM23" s="72">
        <f t="shared" ref="AM23:AM25" si="42">RANK(AO23,$AO$22:$AO$25)</f>
        <v>3</v>
      </c>
      <c r="AN23" s="73" t="s">
        <v>195</v>
      </c>
      <c r="AO23" s="72">
        <f t="shared" ref="AO23:AO25" si="43">SUMIF($Z$22:$Z$27,$AN23,$AA$22:$AA$27)+SUMIF($AD$22:$AD$27,$AN23,$AE$22:$AE$27)</f>
        <v>3</v>
      </c>
      <c r="AP23" s="72">
        <f t="shared" ref="AP23:AP25" si="44">SUMIF($Z$22:$Z$27,$AN23,$AB$22:$AB$27)+SUMIF($AD$22:$AD$27,$AN23,$AF$22:$AF$27)</f>
        <v>1</v>
      </c>
      <c r="AQ23" s="72">
        <f t="shared" ref="AQ23:AQ25" si="45">SUMIF($Z$22:$Z$27,$AN23,$AC$22:$AC$27)+SUMIF($AD$22:$AD$27,$AN23,$AG$22:$AG$27)</f>
        <v>2</v>
      </c>
      <c r="AR23" s="72">
        <f t="shared" ref="AR23:AR25" si="46">AP23-AQ23</f>
        <v>-1</v>
      </c>
      <c r="AT23" s="72">
        <v>2</v>
      </c>
      <c r="AU23" s="72" t="str">
        <f t="shared" ref="AU23:AU25" si="47">VLOOKUP($AT23,$AI$22:$AR$25,6,FALSE)</f>
        <v>Polen</v>
      </c>
      <c r="AV23" s="72">
        <f t="shared" ref="AV23:AV25" si="48">VLOOKUP($AU23,$AN$22:$AR$25,2,FALSE)</f>
        <v>6</v>
      </c>
      <c r="AW23" s="72">
        <f t="shared" ref="AW23:AW25" si="49">VLOOKUP($AU23,$AN$22:$AR$25,3,FALSE)</f>
        <v>2</v>
      </c>
      <c r="AX23" s="72">
        <f t="shared" ref="AX23:AX25" si="50">VLOOKUP($AU23,$AN$22:$AR$25,4,FALSE)</f>
        <v>1</v>
      </c>
      <c r="AY23" s="72">
        <f t="shared" ref="AY23:AY25" si="51">VLOOKUP($AU23,$AN$22:$AR$25,5,FALSE)</f>
        <v>1</v>
      </c>
      <c r="AZ23" s="177"/>
      <c r="BA23" s="182"/>
      <c r="BB23" s="184"/>
      <c r="BC23" s="181"/>
      <c r="BD23" s="177"/>
      <c r="BE23" s="181"/>
      <c r="BF23" s="181"/>
      <c r="BG23" s="181"/>
      <c r="BH23" s="181"/>
      <c r="BI23" s="178"/>
      <c r="BK23" s="74"/>
      <c r="BL23" s="49"/>
      <c r="BM23" s="49"/>
      <c r="BN23" s="49"/>
      <c r="BO23" s="49"/>
    </row>
    <row r="24" spans="2:67" ht="14.25" customHeight="1" x14ac:dyDescent="0.25">
      <c r="B24" s="16">
        <v>22</v>
      </c>
      <c r="C24" s="95">
        <v>44891</v>
      </c>
      <c r="D24" s="84" t="s">
        <v>150</v>
      </c>
      <c r="E24" s="85" t="s">
        <v>6</v>
      </c>
      <c r="F24" s="86" t="s">
        <v>195</v>
      </c>
      <c r="G24" s="62">
        <v>1</v>
      </c>
      <c r="H24" s="87" t="s">
        <v>6</v>
      </c>
      <c r="I24" s="62">
        <v>0</v>
      </c>
      <c r="J24" s="64">
        <f t="shared" si="37"/>
        <v>1</v>
      </c>
      <c r="K24" s="63">
        <f>IF(OR(G24="",I24="",'Resultat &amp; tabell'!G24="",'Resultat &amp; tabell'!I24=""),0,IF(G24='Resultat &amp; tabell'!G24,2,0)+IF(I24='Resultat &amp; tabell'!I24,2,0)+IF(J24='Resultat &amp; tabell'!J24,3,0))</f>
        <v>0</v>
      </c>
      <c r="L24" s="2">
        <v>3</v>
      </c>
      <c r="M24" s="20" t="str">
        <f>VLOOKUP(L24,AT22:AY25,2,FALSE)</f>
        <v>Saudiarabien</v>
      </c>
      <c r="N24" s="32">
        <f>VLOOKUP(M24,$AU$22:$AY$25,2,FALSE)</f>
        <v>3</v>
      </c>
      <c r="O24" s="32">
        <f>VLOOKUP(M24,$AU$22:$AY$25,3,FALSE)</f>
        <v>1</v>
      </c>
      <c r="P24" s="32">
        <f>VLOOKUP(M24,$AU$22:$AY$25,4,FALSE)</f>
        <v>2</v>
      </c>
      <c r="Q24" s="33">
        <f>VLOOKUP(M24,$AU$22:$AY$25,5,FALSE)</f>
        <v>-1</v>
      </c>
      <c r="S24" s="5"/>
      <c r="T24" s="5"/>
      <c r="U24" s="5"/>
      <c r="V24" s="5"/>
      <c r="W24" s="5"/>
      <c r="Z24" s="88" t="str">
        <f t="shared" si="38"/>
        <v>Polen</v>
      </c>
      <c r="AA24" s="89">
        <f t="shared" si="31"/>
        <v>3</v>
      </c>
      <c r="AB24" s="89">
        <f t="shared" si="32"/>
        <v>1</v>
      </c>
      <c r="AC24" s="89">
        <f t="shared" si="33"/>
        <v>0</v>
      </c>
      <c r="AD24" s="88" t="str">
        <f t="shared" si="39"/>
        <v>Saudiarabien</v>
      </c>
      <c r="AE24" s="89">
        <f t="shared" si="34"/>
        <v>0</v>
      </c>
      <c r="AF24" s="73">
        <f t="shared" si="35"/>
        <v>0</v>
      </c>
      <c r="AG24" s="73">
        <f t="shared" si="36"/>
        <v>1</v>
      </c>
      <c r="AI24" s="72">
        <f>RANK($AJ24,$AJ$22:$AJ$25,1)+COUNTIF($AJ$22:$AJ24,$AJ24)-1</f>
        <v>4</v>
      </c>
      <c r="AJ24" s="72">
        <f>AK24+AL24+AM24</f>
        <v>3</v>
      </c>
      <c r="AK24" s="72">
        <f t="shared" si="40"/>
        <v>0</v>
      </c>
      <c r="AL24" s="72">
        <f t="shared" si="41"/>
        <v>0</v>
      </c>
      <c r="AM24" s="72">
        <f t="shared" si="42"/>
        <v>3</v>
      </c>
      <c r="AN24" s="88" t="s">
        <v>10</v>
      </c>
      <c r="AO24" s="72">
        <f t="shared" si="43"/>
        <v>3</v>
      </c>
      <c r="AP24" s="72">
        <f t="shared" si="44"/>
        <v>1</v>
      </c>
      <c r="AQ24" s="72">
        <f t="shared" si="45"/>
        <v>2</v>
      </c>
      <c r="AR24" s="72">
        <f t="shared" si="46"/>
        <v>-1</v>
      </c>
      <c r="AT24" s="72">
        <v>3</v>
      </c>
      <c r="AU24" s="72" t="str">
        <f t="shared" si="47"/>
        <v>Saudiarabien</v>
      </c>
      <c r="AV24" s="72">
        <f t="shared" si="48"/>
        <v>3</v>
      </c>
      <c r="AW24" s="72">
        <f t="shared" si="49"/>
        <v>1</v>
      </c>
      <c r="AX24" s="72">
        <f t="shared" si="50"/>
        <v>2</v>
      </c>
      <c r="AY24" s="72">
        <f t="shared" si="51"/>
        <v>-1</v>
      </c>
      <c r="AZ24" s="177"/>
      <c r="BA24" s="182"/>
      <c r="BB24" s="177"/>
      <c r="BC24" s="181"/>
      <c r="BD24" s="177"/>
      <c r="BE24" s="181"/>
      <c r="BF24" s="181"/>
      <c r="BG24" s="181"/>
      <c r="BH24" s="181"/>
      <c r="BI24" s="178"/>
      <c r="BK24" s="45"/>
      <c r="BL24" s="49"/>
      <c r="BM24" s="49"/>
      <c r="BN24" s="49"/>
      <c r="BO24" s="49"/>
    </row>
    <row r="25" spans="2:67" ht="14.25" customHeight="1" x14ac:dyDescent="0.25">
      <c r="B25" s="16">
        <v>24</v>
      </c>
      <c r="C25" s="95">
        <v>44891</v>
      </c>
      <c r="D25" s="84" t="s">
        <v>60</v>
      </c>
      <c r="E25" s="85" t="s">
        <v>6</v>
      </c>
      <c r="F25" s="86" t="s">
        <v>10</v>
      </c>
      <c r="G25" s="62">
        <v>1</v>
      </c>
      <c r="H25" s="87" t="s">
        <v>6</v>
      </c>
      <c r="I25" s="62">
        <v>0</v>
      </c>
      <c r="J25" s="64">
        <f t="shared" si="37"/>
        <v>1</v>
      </c>
      <c r="K25" s="63">
        <f>IF(OR(G25="",I25="",'Resultat &amp; tabell'!G25="",'Resultat &amp; tabell'!I25=""),0,IF(G25='Resultat &amp; tabell'!G25,2,0)+IF(I25='Resultat &amp; tabell'!I25,2,0)+IF(J25='Resultat &amp; tabell'!J25,3,0))</f>
        <v>0</v>
      </c>
      <c r="L25" s="2">
        <v>4</v>
      </c>
      <c r="M25" s="21" t="str">
        <f>VLOOKUP(L25,AT22:AY25,2,FALSE)</f>
        <v>Mexiko</v>
      </c>
      <c r="N25" s="18">
        <f>VLOOKUP(M25,$AU$22:$AY$25,2,FALSE)</f>
        <v>3</v>
      </c>
      <c r="O25" s="18">
        <f>VLOOKUP(M25,$AU$22:$AY$25,3,FALSE)</f>
        <v>1</v>
      </c>
      <c r="P25" s="18">
        <f>VLOOKUP(M25,$AU$22:$AY$25,4,FALSE)</f>
        <v>2</v>
      </c>
      <c r="Q25" s="19">
        <f>VLOOKUP(M25,$AU$22:$AY$25,5,FALSE)</f>
        <v>-1</v>
      </c>
      <c r="S25" s="5"/>
      <c r="T25" s="5"/>
      <c r="U25" s="5"/>
      <c r="V25" s="5"/>
      <c r="W25" s="5"/>
      <c r="Z25" s="88" t="str">
        <f t="shared" si="38"/>
        <v>Argentina</v>
      </c>
      <c r="AA25" s="89">
        <f t="shared" si="31"/>
        <v>3</v>
      </c>
      <c r="AB25" s="89">
        <f t="shared" si="32"/>
        <v>1</v>
      </c>
      <c r="AC25" s="89">
        <f t="shared" si="33"/>
        <v>0</v>
      </c>
      <c r="AD25" s="88" t="str">
        <f t="shared" si="39"/>
        <v>Mexiko</v>
      </c>
      <c r="AE25" s="89">
        <f t="shared" si="34"/>
        <v>0</v>
      </c>
      <c r="AF25" s="73">
        <f t="shared" si="35"/>
        <v>0</v>
      </c>
      <c r="AG25" s="73">
        <f t="shared" si="36"/>
        <v>1</v>
      </c>
      <c r="AI25" s="72">
        <f>RANK($AJ25,$AJ$22:$AJ$25,1)+COUNTIF($AJ$22:$AJ25,$AJ25)-1</f>
        <v>2</v>
      </c>
      <c r="AJ25" s="72">
        <f>AK25+AL25+AM25</f>
        <v>1</v>
      </c>
      <c r="AK25" s="72">
        <f t="shared" si="40"/>
        <v>0</v>
      </c>
      <c r="AL25" s="72">
        <f t="shared" si="41"/>
        <v>0</v>
      </c>
      <c r="AM25" s="72">
        <f t="shared" si="42"/>
        <v>1</v>
      </c>
      <c r="AN25" s="88" t="s">
        <v>150</v>
      </c>
      <c r="AO25" s="72">
        <f t="shared" si="43"/>
        <v>6</v>
      </c>
      <c r="AP25" s="72">
        <f t="shared" si="44"/>
        <v>2</v>
      </c>
      <c r="AQ25" s="72">
        <f t="shared" si="45"/>
        <v>1</v>
      </c>
      <c r="AR25" s="72">
        <f t="shared" si="46"/>
        <v>1</v>
      </c>
      <c r="AT25" s="72">
        <v>4</v>
      </c>
      <c r="AU25" s="72" t="str">
        <f t="shared" si="47"/>
        <v>Mexiko</v>
      </c>
      <c r="AV25" s="72">
        <f t="shared" si="48"/>
        <v>3</v>
      </c>
      <c r="AW25" s="72">
        <f t="shared" si="49"/>
        <v>1</v>
      </c>
      <c r="AX25" s="72">
        <f t="shared" si="50"/>
        <v>2</v>
      </c>
      <c r="AY25" s="72">
        <f t="shared" si="51"/>
        <v>-1</v>
      </c>
      <c r="AZ25" s="177"/>
      <c r="BA25" s="182"/>
      <c r="BB25" s="177"/>
      <c r="BC25" s="181"/>
      <c r="BD25" s="177"/>
      <c r="BE25" s="181"/>
      <c r="BF25" s="181"/>
      <c r="BG25" s="181"/>
      <c r="BH25" s="181"/>
      <c r="BI25" s="178"/>
      <c r="BK25" s="45"/>
      <c r="BL25" s="49"/>
      <c r="BM25" s="49"/>
      <c r="BN25" s="49"/>
      <c r="BO25" s="49"/>
    </row>
    <row r="26" spans="2:67" ht="14.25" customHeight="1" x14ac:dyDescent="0.25">
      <c r="B26" s="16">
        <v>37</v>
      </c>
      <c r="C26" s="95">
        <v>44895</v>
      </c>
      <c r="D26" s="84" t="s">
        <v>150</v>
      </c>
      <c r="E26" s="85" t="s">
        <v>6</v>
      </c>
      <c r="F26" s="86" t="s">
        <v>60</v>
      </c>
      <c r="G26" s="62">
        <v>1</v>
      </c>
      <c r="H26" s="87" t="s">
        <v>6</v>
      </c>
      <c r="I26" s="62">
        <v>0</v>
      </c>
      <c r="J26" s="64">
        <f t="shared" si="37"/>
        <v>1</v>
      </c>
      <c r="K26" s="63">
        <f>IF(OR(G26="",I26="",'Resultat &amp; tabell'!G26="",'Resultat &amp; tabell'!I26=""),0,IF(G26='Resultat &amp; tabell'!G26,2,0)+IF(I26='Resultat &amp; tabell'!I26,2,0)+IF(J26='Resultat &amp; tabell'!J26,3,0))</f>
        <v>0</v>
      </c>
      <c r="M26" s="187">
        <f>COUNTBLANK(G22:G27)+COUNTBLANK(I22:I27)</f>
        <v>0</v>
      </c>
      <c r="N26" s="23"/>
      <c r="O26" s="23"/>
      <c r="P26" s="23"/>
      <c r="Q26" s="23"/>
      <c r="S26" s="5"/>
      <c r="T26" s="5"/>
      <c r="U26" s="5"/>
      <c r="V26" s="5"/>
      <c r="W26" s="5"/>
      <c r="Z26" s="88" t="str">
        <f t="shared" si="38"/>
        <v>Polen</v>
      </c>
      <c r="AA26" s="89">
        <f t="shared" si="31"/>
        <v>3</v>
      </c>
      <c r="AB26" s="89">
        <f t="shared" si="32"/>
        <v>1</v>
      </c>
      <c r="AC26" s="89">
        <f t="shared" si="33"/>
        <v>0</v>
      </c>
      <c r="AD26" s="88" t="str">
        <f t="shared" si="39"/>
        <v>Argentina</v>
      </c>
      <c r="AE26" s="89">
        <f t="shared" si="34"/>
        <v>0</v>
      </c>
      <c r="AF26" s="73">
        <f t="shared" si="35"/>
        <v>0</v>
      </c>
      <c r="AG26" s="73">
        <f t="shared" si="36"/>
        <v>1</v>
      </c>
      <c r="AZ26" s="177"/>
      <c r="BA26" s="182"/>
      <c r="BB26" s="177"/>
      <c r="BC26" s="181"/>
      <c r="BD26" s="177"/>
      <c r="BE26" s="181"/>
      <c r="BF26" s="181"/>
      <c r="BG26" s="181"/>
      <c r="BH26" s="181"/>
      <c r="BI26" s="178"/>
      <c r="BL26" s="49"/>
      <c r="BM26" s="49"/>
      <c r="BN26" s="49"/>
      <c r="BO26" s="49"/>
    </row>
    <row r="27" spans="2:67" ht="14.25" customHeight="1" x14ac:dyDescent="0.25">
      <c r="B27" s="16">
        <v>38</v>
      </c>
      <c r="C27" s="95">
        <v>44895</v>
      </c>
      <c r="D27" s="84" t="s">
        <v>195</v>
      </c>
      <c r="E27" s="85" t="s">
        <v>6</v>
      </c>
      <c r="F27" s="86" t="s">
        <v>10</v>
      </c>
      <c r="G27" s="62">
        <v>1</v>
      </c>
      <c r="H27" s="87" t="s">
        <v>6</v>
      </c>
      <c r="I27" s="62">
        <v>0</v>
      </c>
      <c r="J27" s="64">
        <f t="shared" si="37"/>
        <v>1</v>
      </c>
      <c r="K27" s="63">
        <f>IF(OR(G27="",I27="",'Resultat &amp; tabell'!G27="",'Resultat &amp; tabell'!I27=""),0,IF(G27='Resultat &amp; tabell'!G27,2,0)+IF(I27='Resultat &amp; tabell'!I27,2,0)+IF(J27='Resultat &amp; tabell'!J27,3,0))</f>
        <v>0</v>
      </c>
      <c r="N27" s="23"/>
      <c r="O27" s="23"/>
      <c r="P27" s="23"/>
      <c r="Q27" s="23"/>
      <c r="S27" s="5"/>
      <c r="T27" s="5"/>
      <c r="U27" s="5"/>
      <c r="V27" s="5"/>
      <c r="W27" s="5"/>
      <c r="Z27" s="88" t="str">
        <f t="shared" si="38"/>
        <v>Saudiarabien</v>
      </c>
      <c r="AA27" s="89">
        <f t="shared" si="31"/>
        <v>3</v>
      </c>
      <c r="AB27" s="89">
        <f t="shared" si="32"/>
        <v>1</v>
      </c>
      <c r="AC27" s="89">
        <f t="shared" si="33"/>
        <v>0</v>
      </c>
      <c r="AD27" s="88" t="str">
        <f t="shared" si="39"/>
        <v>Mexiko</v>
      </c>
      <c r="AE27" s="89">
        <f t="shared" si="34"/>
        <v>0</v>
      </c>
      <c r="AF27" s="73">
        <f t="shared" si="35"/>
        <v>0</v>
      </c>
      <c r="AG27" s="73">
        <f t="shared" si="36"/>
        <v>1</v>
      </c>
      <c r="AZ27" s="177"/>
      <c r="BA27" s="182"/>
      <c r="BB27" s="177"/>
      <c r="BC27" s="181"/>
      <c r="BD27" s="177"/>
      <c r="BE27" s="181"/>
      <c r="BF27" s="181"/>
      <c r="BG27" s="181"/>
      <c r="BH27" s="181"/>
      <c r="BI27" s="178"/>
      <c r="BL27" s="49"/>
      <c r="BM27" s="49"/>
      <c r="BN27" s="49"/>
      <c r="BO27" s="49"/>
    </row>
    <row r="28" spans="2:67" ht="14.25" customHeight="1" x14ac:dyDescent="0.25">
      <c r="C28" s="38"/>
      <c r="J28" s="24"/>
      <c r="K28" s="24"/>
      <c r="N28" s="23"/>
      <c r="O28" s="23"/>
      <c r="P28" s="23"/>
      <c r="Q28" s="23"/>
      <c r="S28" s="5"/>
      <c r="T28" s="5"/>
      <c r="U28" s="5"/>
      <c r="V28" s="5"/>
      <c r="W28" s="5"/>
      <c r="AZ28" s="177"/>
      <c r="BA28" s="182"/>
      <c r="BB28" s="177"/>
      <c r="BC28" s="181"/>
      <c r="BD28" s="177"/>
      <c r="BE28" s="181"/>
      <c r="BF28" s="181"/>
      <c r="BG28" s="181"/>
      <c r="BH28" s="181"/>
      <c r="BI28" s="178"/>
      <c r="BL28" s="49"/>
      <c r="BM28" s="49"/>
      <c r="BN28" s="49"/>
      <c r="BO28" s="49"/>
    </row>
    <row r="29" spans="2:67" s="26" customFormat="1" ht="14.25" customHeight="1" x14ac:dyDescent="0.25">
      <c r="B29" s="6" t="s">
        <v>48</v>
      </c>
      <c r="C29" s="104"/>
      <c r="D29" s="68"/>
      <c r="E29" s="27"/>
      <c r="F29" s="68"/>
      <c r="G29" s="27"/>
      <c r="H29" s="27"/>
      <c r="I29" s="27"/>
      <c r="J29" s="24"/>
      <c r="K29" s="24"/>
      <c r="L29" s="25"/>
      <c r="N29" s="27"/>
      <c r="O29" s="27"/>
      <c r="P29" s="27"/>
      <c r="Q29" s="27"/>
      <c r="Z29" s="70"/>
      <c r="AA29" s="89"/>
      <c r="AB29" s="89"/>
      <c r="AC29" s="89"/>
      <c r="AD29" s="70"/>
      <c r="AE29" s="107"/>
      <c r="AF29" s="108"/>
      <c r="AG29" s="108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75"/>
      <c r="BA29" s="183"/>
      <c r="BB29" s="175"/>
      <c r="BC29" s="201"/>
      <c r="BD29" s="175"/>
      <c r="BE29" s="201"/>
      <c r="BF29" s="201"/>
      <c r="BG29" s="201"/>
      <c r="BH29" s="201"/>
      <c r="BI29" s="201"/>
      <c r="BJ29" s="110"/>
      <c r="BK29" s="1"/>
      <c r="BL29" s="24"/>
      <c r="BM29" s="24"/>
      <c r="BN29" s="24"/>
      <c r="BO29" s="24"/>
    </row>
    <row r="30" spans="2:67" s="26" customFormat="1" ht="14.25" customHeight="1" x14ac:dyDescent="0.25">
      <c r="B30" s="119" t="s">
        <v>2</v>
      </c>
      <c r="C30" s="112" t="s">
        <v>3</v>
      </c>
      <c r="D30" s="207" t="s">
        <v>2</v>
      </c>
      <c r="E30" s="208"/>
      <c r="F30" s="209"/>
      <c r="G30" s="208" t="s">
        <v>4</v>
      </c>
      <c r="H30" s="208"/>
      <c r="I30" s="208"/>
      <c r="J30" s="28" t="s">
        <v>69</v>
      </c>
      <c r="K30" s="7" t="s">
        <v>75</v>
      </c>
      <c r="L30" s="25"/>
      <c r="M30" s="8" t="s">
        <v>48</v>
      </c>
      <c r="N30" s="202" t="s">
        <v>75</v>
      </c>
      <c r="O30" s="202" t="s">
        <v>76</v>
      </c>
      <c r="P30" s="202" t="s">
        <v>77</v>
      </c>
      <c r="Q30" s="10" t="s">
        <v>87</v>
      </c>
      <c r="Z30" s="81" t="s">
        <v>73</v>
      </c>
      <c r="AA30" s="81" t="s">
        <v>75</v>
      </c>
      <c r="AB30" s="81" t="s">
        <v>76</v>
      </c>
      <c r="AC30" s="81" t="s">
        <v>77</v>
      </c>
      <c r="AD30" s="81" t="s">
        <v>74</v>
      </c>
      <c r="AE30" s="81" t="s">
        <v>75</v>
      </c>
      <c r="AF30" s="81" t="s">
        <v>76</v>
      </c>
      <c r="AG30" s="81" t="s">
        <v>77</v>
      </c>
      <c r="AH30" s="107"/>
      <c r="AI30" s="82" t="s">
        <v>85</v>
      </c>
      <c r="AJ30" s="82" t="s">
        <v>84</v>
      </c>
      <c r="AK30" s="82" t="s">
        <v>83</v>
      </c>
      <c r="AL30" s="81" t="s">
        <v>82</v>
      </c>
      <c r="AM30" s="81" t="s">
        <v>81</v>
      </c>
      <c r="AN30" s="81" t="s">
        <v>78</v>
      </c>
      <c r="AO30" s="81" t="s">
        <v>75</v>
      </c>
      <c r="AP30" s="81" t="s">
        <v>76</v>
      </c>
      <c r="AQ30" s="81" t="s">
        <v>77</v>
      </c>
      <c r="AR30" s="82" t="s">
        <v>79</v>
      </c>
      <c r="AS30" s="107"/>
      <c r="AT30" s="81" t="s">
        <v>80</v>
      </c>
      <c r="AU30" s="81" t="s">
        <v>78</v>
      </c>
      <c r="AV30" s="81" t="s">
        <v>75</v>
      </c>
      <c r="AW30" s="81" t="s">
        <v>76</v>
      </c>
      <c r="AX30" s="81" t="s">
        <v>77</v>
      </c>
      <c r="AY30" s="82" t="s">
        <v>79</v>
      </c>
      <c r="AZ30" s="175"/>
      <c r="BA30" s="175"/>
      <c r="BB30" s="206"/>
      <c r="BC30" s="206"/>
      <c r="BD30" s="206"/>
      <c r="BE30" s="206"/>
      <c r="BF30" s="206"/>
      <c r="BG30" s="206"/>
      <c r="BH30" s="201"/>
      <c r="BI30" s="201"/>
      <c r="BJ30" s="110"/>
      <c r="BK30" s="114"/>
      <c r="BL30" s="24"/>
      <c r="BM30" s="24"/>
      <c r="BN30" s="24"/>
      <c r="BO30" s="24"/>
    </row>
    <row r="31" spans="2:67" ht="14.25" customHeight="1" x14ac:dyDescent="0.25">
      <c r="B31" s="16">
        <v>5</v>
      </c>
      <c r="C31" s="95">
        <v>44887</v>
      </c>
      <c r="D31" s="84" t="s">
        <v>58</v>
      </c>
      <c r="E31" s="85" t="s">
        <v>6</v>
      </c>
      <c r="F31" s="86" t="s">
        <v>29</v>
      </c>
      <c r="G31" s="62">
        <v>1</v>
      </c>
      <c r="H31" s="87" t="s">
        <v>6</v>
      </c>
      <c r="I31" s="62">
        <v>0</v>
      </c>
      <c r="J31" s="64">
        <f>IF(OR(ISBLANK(G31),ISBLANK(I31)),"",IF(G31&gt;I31,1,IF(G31&lt;I31,2,"X")))</f>
        <v>1</v>
      </c>
      <c r="K31" s="63">
        <f>IF(OR(G31="",I31="",'Resultat &amp; tabell'!G31="",'Resultat &amp; tabell'!I31=""),0,IF(G31='Resultat &amp; tabell'!G31,2,0)+IF(I31='Resultat &amp; tabell'!I31,2,0)+IF(J31='Resultat &amp; tabell'!J31,3,0))</f>
        <v>0</v>
      </c>
      <c r="L31" s="12">
        <v>1</v>
      </c>
      <c r="M31" s="13" t="str">
        <f>VLOOKUP(L31,AT31:AY34,2,FALSE)</f>
        <v>Frankrike</v>
      </c>
      <c r="N31" s="14">
        <f>VLOOKUP(M31,$AU$31:$AY$34,2,FALSE)</f>
        <v>6</v>
      </c>
      <c r="O31" s="14">
        <f>VLOOKUP(M31,$AU$31:$AY$34,3,FALSE)</f>
        <v>2</v>
      </c>
      <c r="P31" s="14">
        <f>VLOOKUP(M31,$AU$31:$AY$34,4,FALSE)</f>
        <v>1</v>
      </c>
      <c r="Q31" s="15">
        <f>VLOOKUP(M31,$AU$31:$AY$34,5,FALSE)</f>
        <v>1</v>
      </c>
      <c r="S31" s="5"/>
      <c r="T31" s="5"/>
      <c r="U31" s="5"/>
      <c r="V31" s="5"/>
      <c r="W31" s="5"/>
      <c r="Z31" s="88" t="str">
        <f>D31</f>
        <v>Frankrike</v>
      </c>
      <c r="AA31" s="89">
        <f t="shared" ref="AA31:AA37" si="52">IF(G31="",0,IF($G31&lt;$I31,0,IF($G31=$I31,1,3)))</f>
        <v>3</v>
      </c>
      <c r="AB31" s="89">
        <f t="shared" ref="AB31:AB36" si="53">G31</f>
        <v>1</v>
      </c>
      <c r="AC31" s="89">
        <f t="shared" ref="AC31:AC37" si="54">I31</f>
        <v>0</v>
      </c>
      <c r="AD31" s="88" t="str">
        <f>F31</f>
        <v>Australien</v>
      </c>
      <c r="AE31" s="89">
        <f t="shared" ref="AE31:AE37" si="55">IF(I31="",0,IF(I31&lt;G31,0,IF(G31=I31,1,3)))</f>
        <v>0</v>
      </c>
      <c r="AF31" s="73">
        <f t="shared" ref="AF31:AF37" si="56">I31</f>
        <v>0</v>
      </c>
      <c r="AG31" s="73">
        <f t="shared" ref="AG31:AG36" si="57">G31</f>
        <v>1</v>
      </c>
      <c r="AI31" s="72">
        <f>RANK($AJ31,$AJ$31:$AJ$34,1)+COUNTIF($AJ$31:$AJ31,$AJ31)-1</f>
        <v>1</v>
      </c>
      <c r="AJ31" s="72">
        <f>AK31+AL31+AM31</f>
        <v>1</v>
      </c>
      <c r="AK31" s="72">
        <f>SUMPRODUCT(($AO$31:$AO$34=AO31)*($AR$31:$AR$34=AR31)*($AP$31:$AP$34&gt;AP31))</f>
        <v>0</v>
      </c>
      <c r="AL31" s="72">
        <f>SUMPRODUCT(($AO$31:$AO$34=AO31)*($AR$31:$AR$34&gt;AR31))</f>
        <v>0</v>
      </c>
      <c r="AM31" s="72">
        <f>RANK(AO31,$AO$31:$AO$34)</f>
        <v>1</v>
      </c>
      <c r="AN31" s="88" t="s">
        <v>58</v>
      </c>
      <c r="AO31" s="72">
        <f>SUMIF($Z$31:$Z$36,$AN31,$AA$31:$AA$36)+SUMIF($AD$31:$AD$36,$AN31,$AE$31:$AE$36)</f>
        <v>6</v>
      </c>
      <c r="AP31" s="72">
        <f>SUMIF($Z$31:$Z$36,$AN31,$AB$31:$AB$36)+SUMIF($AD$31:$AD$36,$AN31,$AF$31:$AF$36)</f>
        <v>2</v>
      </c>
      <c r="AQ31" s="72">
        <f>SUMIF($Z$31:$Z$36,$AN31,$AC$31:$AC$36)+SUMIF($AD$31:$AD$36,$AN31,$AG$31:$AG$36)</f>
        <v>1</v>
      </c>
      <c r="AR31" s="72">
        <f>AP31-AQ31</f>
        <v>1</v>
      </c>
      <c r="AT31" s="72">
        <v>1</v>
      </c>
      <c r="AU31" s="72" t="str">
        <f>VLOOKUP($AT31,$AI$31:$AR$34,6,FALSE)</f>
        <v>Frankrike</v>
      </c>
      <c r="AV31" s="72">
        <f>VLOOKUP($AU31,$AN$31:$AR$34,2,FALSE)</f>
        <v>6</v>
      </c>
      <c r="AW31" s="72">
        <f>VLOOKUP($AU31,$AN$31:$AR$34,3,FALSE)</f>
        <v>2</v>
      </c>
      <c r="AX31" s="72">
        <f>VLOOKUP($AU31,$AN$31:$AR$34,4,FALSE)</f>
        <v>1</v>
      </c>
      <c r="AY31" s="72">
        <f>VLOOKUP($AU31,$AN$31:$AR$34,5,FALSE)</f>
        <v>1</v>
      </c>
      <c r="AZ31" s="177"/>
      <c r="BA31" s="182"/>
      <c r="BB31" s="177"/>
      <c r="BC31" s="181"/>
      <c r="BD31" s="177"/>
      <c r="BE31" s="181"/>
      <c r="BF31" s="181"/>
      <c r="BG31" s="181"/>
      <c r="BH31" s="181"/>
      <c r="BI31" s="178"/>
      <c r="BJ31" s="94"/>
      <c r="BK31" s="74"/>
      <c r="BL31" s="49"/>
      <c r="BM31" s="49"/>
      <c r="BN31" s="49"/>
      <c r="BO31" s="49"/>
    </row>
    <row r="32" spans="2:67" ht="14.25" customHeight="1" x14ac:dyDescent="0.25">
      <c r="B32" s="16">
        <v>6</v>
      </c>
      <c r="C32" s="95">
        <v>44887</v>
      </c>
      <c r="D32" s="84" t="s">
        <v>147</v>
      </c>
      <c r="E32" s="85" t="s">
        <v>6</v>
      </c>
      <c r="F32" s="86" t="s">
        <v>149</v>
      </c>
      <c r="G32" s="62">
        <v>1</v>
      </c>
      <c r="H32" s="87" t="s">
        <v>6</v>
      </c>
      <c r="I32" s="62">
        <v>0</v>
      </c>
      <c r="J32" s="64">
        <f t="shared" ref="J32:J37" si="58">IF(OR(ISBLANK(G32),ISBLANK(I32)),"",IF(G32&gt;I32,1,IF(G32&lt;I32,2,"X")))</f>
        <v>1</v>
      </c>
      <c r="K32" s="63">
        <f>IF(OR(G32="",I32="",'Resultat &amp; tabell'!G32="",'Resultat &amp; tabell'!I32=""),0,IF(G32='Resultat &amp; tabell'!G32,2,0)+IF(I32='Resultat &amp; tabell'!I32,2,0)+IF(J32='Resultat &amp; tabell'!J32,3,0))</f>
        <v>0</v>
      </c>
      <c r="L32" s="2">
        <v>2</v>
      </c>
      <c r="M32" s="17" t="str">
        <f>VLOOKUP(L32,AT31:AY34,2,FALSE)</f>
        <v>Tunisien</v>
      </c>
      <c r="N32" s="18">
        <f>VLOOKUP(M32,$AU$31:$AY$34,2,FALSE)</f>
        <v>6</v>
      </c>
      <c r="O32" s="18">
        <f>VLOOKUP(M32,$AU$31:$AY$34,3,FALSE)</f>
        <v>2</v>
      </c>
      <c r="P32" s="18">
        <f>VLOOKUP(M32,$AU$31:$AY$34,4,FALSE)</f>
        <v>1</v>
      </c>
      <c r="Q32" s="19">
        <f>VLOOKUP(M32,$AU$31:$AY$34,5,FALSE)</f>
        <v>1</v>
      </c>
      <c r="S32" s="5"/>
      <c r="T32" s="5"/>
      <c r="U32" s="5"/>
      <c r="V32" s="5"/>
      <c r="W32" s="5"/>
      <c r="Z32" s="88" t="str">
        <f t="shared" ref="Z32:Z36" si="59">D32</f>
        <v>Danmark</v>
      </c>
      <c r="AA32" s="89">
        <f t="shared" si="52"/>
        <v>3</v>
      </c>
      <c r="AB32" s="89">
        <f t="shared" si="53"/>
        <v>1</v>
      </c>
      <c r="AC32" s="89">
        <f t="shared" si="54"/>
        <v>0</v>
      </c>
      <c r="AD32" s="88" t="str">
        <f t="shared" ref="AD32:AD36" si="60">F32</f>
        <v>Tunisien</v>
      </c>
      <c r="AE32" s="89">
        <f t="shared" si="55"/>
        <v>0</v>
      </c>
      <c r="AF32" s="73">
        <f t="shared" si="56"/>
        <v>0</v>
      </c>
      <c r="AG32" s="73">
        <f t="shared" si="57"/>
        <v>1</v>
      </c>
      <c r="AI32" s="72">
        <f>RANK($AJ32,$AJ$31:$AJ$34,1)+COUNTIF($AJ$31:$AJ32,$AJ32)-1</f>
        <v>3</v>
      </c>
      <c r="AJ32" s="72">
        <f>AK32+AL32+AM32</f>
        <v>3</v>
      </c>
      <c r="AK32" s="72">
        <f t="shared" ref="AK32:AK34" si="61">SUMPRODUCT(($AO$31:$AO$34=AO32)*($AR$31:$AR$34=AR32)*($AP$31:$AP$34&gt;AP32))</f>
        <v>0</v>
      </c>
      <c r="AL32" s="72">
        <f t="shared" ref="AL32:AL34" si="62">SUMPRODUCT(($AO$31:$AO$34=AO32)*($AR$31:$AR$34&gt;AR32))</f>
        <v>0</v>
      </c>
      <c r="AM32" s="72">
        <f t="shared" ref="AM32:AM34" si="63">RANK(AO32,$AO$31:$AO$34)</f>
        <v>3</v>
      </c>
      <c r="AN32" s="88" t="s">
        <v>147</v>
      </c>
      <c r="AO32" s="72">
        <f t="shared" ref="AO32:AO34" si="64">SUMIF($Z$31:$Z$36,$AN32,$AA$31:$AA$36)+SUMIF($AD$31:$AD$36,$AN32,$AE$31:$AE$36)</f>
        <v>3</v>
      </c>
      <c r="AP32" s="72">
        <f t="shared" ref="AP32:AP34" si="65">SUMIF($Z$31:$Z$36,$AN32,$AB$31:$AB$36)+SUMIF($AD$31:$AD$36,$AN32,$AF$31:$AF$36)</f>
        <v>1</v>
      </c>
      <c r="AQ32" s="72">
        <f t="shared" ref="AQ32:AQ34" si="66">SUMIF($Z$31:$Z$36,$AN32,$AC$31:$AC$36)+SUMIF($AD$31:$AD$36,$AN32,$AG$31:$AG$36)</f>
        <v>2</v>
      </c>
      <c r="AR32" s="72">
        <f t="shared" ref="AR32:AR34" si="67">AP32-AQ32</f>
        <v>-1</v>
      </c>
      <c r="AT32" s="72">
        <v>2</v>
      </c>
      <c r="AU32" s="72" t="str">
        <f t="shared" ref="AU32:AU34" si="68">VLOOKUP($AT32,$AI$31:$AR$34,6,FALSE)</f>
        <v>Tunisien</v>
      </c>
      <c r="AV32" s="72">
        <f t="shared" ref="AV32:AV34" si="69">VLOOKUP($AU32,$AN$31:$AR$34,2,FALSE)</f>
        <v>6</v>
      </c>
      <c r="AW32" s="72">
        <f t="shared" ref="AW32:AW34" si="70">VLOOKUP($AU32,$AN$31:$AR$34,3,FALSE)</f>
        <v>2</v>
      </c>
      <c r="AX32" s="72">
        <f t="shared" ref="AX32:AX34" si="71">VLOOKUP($AU32,$AN$31:$AR$34,4,FALSE)</f>
        <v>1</v>
      </c>
      <c r="AY32" s="72">
        <f t="shared" ref="AY32:AY34" si="72">VLOOKUP($AU32,$AN$31:$AR$34,5,FALSE)</f>
        <v>1</v>
      </c>
      <c r="AZ32" s="177"/>
      <c r="BA32" s="182"/>
      <c r="BB32" s="177"/>
      <c r="BC32" s="181"/>
      <c r="BD32" s="177"/>
      <c r="BE32" s="181"/>
      <c r="BF32" s="181"/>
      <c r="BG32" s="181"/>
      <c r="BH32" s="181"/>
      <c r="BI32" s="178"/>
      <c r="BK32" s="74"/>
      <c r="BL32" s="49"/>
      <c r="BM32" s="49"/>
      <c r="BN32" s="49"/>
      <c r="BO32" s="49"/>
    </row>
    <row r="33" spans="2:67" ht="14.25" customHeight="1" x14ac:dyDescent="0.25">
      <c r="B33" s="16">
        <v>21</v>
      </c>
      <c r="C33" s="95">
        <v>44891</v>
      </c>
      <c r="D33" s="84" t="s">
        <v>149</v>
      </c>
      <c r="E33" s="85" t="s">
        <v>6</v>
      </c>
      <c r="F33" s="86" t="s">
        <v>29</v>
      </c>
      <c r="G33" s="62">
        <v>1</v>
      </c>
      <c r="H33" s="87" t="s">
        <v>6</v>
      </c>
      <c r="I33" s="62">
        <v>0</v>
      </c>
      <c r="J33" s="64">
        <f t="shared" si="58"/>
        <v>1</v>
      </c>
      <c r="K33" s="63">
        <f>IF(OR(G33="",I33="",'Resultat &amp; tabell'!G33="",'Resultat &amp; tabell'!I33=""),0,IF(G33='Resultat &amp; tabell'!G33,2,0)+IF(I33='Resultat &amp; tabell'!I33,2,0)+IF(J33='Resultat &amp; tabell'!J33,3,0))</f>
        <v>0</v>
      </c>
      <c r="L33" s="2">
        <v>3</v>
      </c>
      <c r="M33" s="20" t="str">
        <f>VLOOKUP(L33,AT31:AY34,2,FALSE)</f>
        <v>Danmark</v>
      </c>
      <c r="N33" s="32">
        <f>VLOOKUP(M33,$AU$31:$AY$34,2,FALSE)</f>
        <v>3</v>
      </c>
      <c r="O33" s="32">
        <f>VLOOKUP(M33,$AU$31:$AY$34,3,FALSE)</f>
        <v>1</v>
      </c>
      <c r="P33" s="32">
        <f>VLOOKUP(M33,$AU$31:$AY$34,4,FALSE)</f>
        <v>2</v>
      </c>
      <c r="Q33" s="33">
        <f>VLOOKUP(M33,$AU$31:$AY$34,5,FALSE)</f>
        <v>-1</v>
      </c>
      <c r="S33" s="5"/>
      <c r="T33" s="5"/>
      <c r="U33" s="5"/>
      <c r="V33" s="5"/>
      <c r="W33" s="5"/>
      <c r="Z33" s="88" t="str">
        <f t="shared" si="59"/>
        <v>Tunisien</v>
      </c>
      <c r="AA33" s="89">
        <f t="shared" si="52"/>
        <v>3</v>
      </c>
      <c r="AB33" s="89">
        <f t="shared" si="53"/>
        <v>1</v>
      </c>
      <c r="AC33" s="89">
        <f t="shared" si="54"/>
        <v>0</v>
      </c>
      <c r="AD33" s="88" t="str">
        <f t="shared" si="60"/>
        <v>Australien</v>
      </c>
      <c r="AE33" s="89">
        <f t="shared" si="55"/>
        <v>0</v>
      </c>
      <c r="AF33" s="73">
        <f t="shared" si="56"/>
        <v>0</v>
      </c>
      <c r="AG33" s="73">
        <f t="shared" si="57"/>
        <v>1</v>
      </c>
      <c r="AI33" s="72">
        <f>RANK($AJ33,$AJ$31:$AJ$34,1)+COUNTIF($AJ$31:$AJ33,$AJ33)-1</f>
        <v>2</v>
      </c>
      <c r="AJ33" s="72">
        <f>AK33+AL33+AM33</f>
        <v>1</v>
      </c>
      <c r="AK33" s="72">
        <f t="shared" si="61"/>
        <v>0</v>
      </c>
      <c r="AL33" s="72">
        <f t="shared" si="62"/>
        <v>0</v>
      </c>
      <c r="AM33" s="72">
        <f t="shared" si="63"/>
        <v>1</v>
      </c>
      <c r="AN33" s="88" t="s">
        <v>149</v>
      </c>
      <c r="AO33" s="72">
        <f t="shared" si="64"/>
        <v>6</v>
      </c>
      <c r="AP33" s="72">
        <f t="shared" si="65"/>
        <v>2</v>
      </c>
      <c r="AQ33" s="72">
        <f t="shared" si="66"/>
        <v>1</v>
      </c>
      <c r="AR33" s="72">
        <f t="shared" si="67"/>
        <v>1</v>
      </c>
      <c r="AT33" s="72">
        <v>3</v>
      </c>
      <c r="AU33" s="72" t="str">
        <f t="shared" si="68"/>
        <v>Danmark</v>
      </c>
      <c r="AV33" s="72">
        <f t="shared" si="69"/>
        <v>3</v>
      </c>
      <c r="AW33" s="72">
        <f t="shared" si="70"/>
        <v>1</v>
      </c>
      <c r="AX33" s="72">
        <f t="shared" si="71"/>
        <v>2</v>
      </c>
      <c r="AY33" s="72">
        <f t="shared" si="72"/>
        <v>-1</v>
      </c>
      <c r="AZ33" s="177"/>
      <c r="BA33" s="182"/>
      <c r="BB33" s="177"/>
      <c r="BC33" s="181"/>
      <c r="BD33" s="177"/>
      <c r="BE33" s="181"/>
      <c r="BF33" s="181"/>
      <c r="BG33" s="181"/>
      <c r="BH33" s="181"/>
      <c r="BI33" s="178"/>
      <c r="BK33" s="45"/>
      <c r="BL33" s="49"/>
      <c r="BM33" s="49"/>
      <c r="BN33" s="49"/>
      <c r="BO33" s="49"/>
    </row>
    <row r="34" spans="2:67" ht="14.25" customHeight="1" x14ac:dyDescent="0.25">
      <c r="B34" s="16">
        <v>23</v>
      </c>
      <c r="C34" s="95">
        <v>44891</v>
      </c>
      <c r="D34" s="84" t="s">
        <v>58</v>
      </c>
      <c r="E34" s="85" t="s">
        <v>6</v>
      </c>
      <c r="F34" s="86" t="s">
        <v>147</v>
      </c>
      <c r="G34" s="62">
        <v>1</v>
      </c>
      <c r="H34" s="87" t="s">
        <v>6</v>
      </c>
      <c r="I34" s="62">
        <v>0</v>
      </c>
      <c r="J34" s="64">
        <f t="shared" si="58"/>
        <v>1</v>
      </c>
      <c r="K34" s="63">
        <f>IF(OR(G34="",I34="",'Resultat &amp; tabell'!G34="",'Resultat &amp; tabell'!I34=""),0,IF(G34='Resultat &amp; tabell'!G34,2,0)+IF(I34='Resultat &amp; tabell'!I34,2,0)+IF(J34='Resultat &amp; tabell'!J34,3,0))</f>
        <v>0</v>
      </c>
      <c r="L34" s="2">
        <v>4</v>
      </c>
      <c r="M34" s="21" t="str">
        <f>VLOOKUP(L34,AT31:AY34,2,FALSE)</f>
        <v>Australien</v>
      </c>
      <c r="N34" s="18">
        <f>VLOOKUP(M34,$AU$31:$AY$34,2,FALSE)</f>
        <v>3</v>
      </c>
      <c r="O34" s="18">
        <f>VLOOKUP(M34,$AU$31:$AY$34,3,FALSE)</f>
        <v>1</v>
      </c>
      <c r="P34" s="18">
        <f>VLOOKUP(M34,$AU$31:$AY$34,4,FALSE)</f>
        <v>2</v>
      </c>
      <c r="Q34" s="19">
        <f>VLOOKUP(M34,$AU$31:$AY$34,5,FALSE)</f>
        <v>-1</v>
      </c>
      <c r="S34" s="5"/>
      <c r="T34" s="5"/>
      <c r="U34" s="5"/>
      <c r="V34" s="5"/>
      <c r="W34" s="5"/>
      <c r="Z34" s="88" t="str">
        <f t="shared" si="59"/>
        <v>Frankrike</v>
      </c>
      <c r="AA34" s="89">
        <f t="shared" si="52"/>
        <v>3</v>
      </c>
      <c r="AB34" s="89">
        <f t="shared" si="53"/>
        <v>1</v>
      </c>
      <c r="AC34" s="89">
        <f t="shared" si="54"/>
        <v>0</v>
      </c>
      <c r="AD34" s="88" t="str">
        <f t="shared" si="60"/>
        <v>Danmark</v>
      </c>
      <c r="AE34" s="89">
        <f t="shared" si="55"/>
        <v>0</v>
      </c>
      <c r="AF34" s="73">
        <f t="shared" si="56"/>
        <v>0</v>
      </c>
      <c r="AG34" s="73">
        <f t="shared" si="57"/>
        <v>1</v>
      </c>
      <c r="AI34" s="72">
        <f>RANK($AJ34,$AJ$31:$AJ$34,1)+COUNTIF($AJ$31:$AJ34,$AJ34)-1</f>
        <v>4</v>
      </c>
      <c r="AJ34" s="72">
        <f>AK34+AL34+AM34</f>
        <v>3</v>
      </c>
      <c r="AK34" s="72">
        <f t="shared" si="61"/>
        <v>0</v>
      </c>
      <c r="AL34" s="72">
        <f t="shared" si="62"/>
        <v>0</v>
      </c>
      <c r="AM34" s="72">
        <f t="shared" si="63"/>
        <v>3</v>
      </c>
      <c r="AN34" s="88" t="s">
        <v>29</v>
      </c>
      <c r="AO34" s="72">
        <f t="shared" si="64"/>
        <v>3</v>
      </c>
      <c r="AP34" s="72">
        <f t="shared" si="65"/>
        <v>1</v>
      </c>
      <c r="AQ34" s="72">
        <f t="shared" si="66"/>
        <v>2</v>
      </c>
      <c r="AR34" s="72">
        <f t="shared" si="67"/>
        <v>-1</v>
      </c>
      <c r="AT34" s="72">
        <v>4</v>
      </c>
      <c r="AU34" s="72" t="str">
        <f t="shared" si="68"/>
        <v>Australien</v>
      </c>
      <c r="AV34" s="72">
        <f t="shared" si="69"/>
        <v>3</v>
      </c>
      <c r="AW34" s="72">
        <f t="shared" si="70"/>
        <v>1</v>
      </c>
      <c r="AX34" s="72">
        <f t="shared" si="71"/>
        <v>2</v>
      </c>
      <c r="AY34" s="72">
        <f t="shared" si="72"/>
        <v>-1</v>
      </c>
      <c r="AZ34" s="177"/>
      <c r="BA34" s="182"/>
      <c r="BB34" s="177"/>
      <c r="BC34" s="181"/>
      <c r="BD34" s="177"/>
      <c r="BE34" s="181"/>
      <c r="BF34" s="181"/>
      <c r="BG34" s="181"/>
      <c r="BH34" s="181"/>
      <c r="BI34" s="178"/>
      <c r="BK34" s="45"/>
      <c r="BL34" s="49"/>
      <c r="BM34" s="49"/>
      <c r="BN34" s="49"/>
      <c r="BO34" s="49"/>
    </row>
    <row r="35" spans="2:67" ht="14.25" customHeight="1" x14ac:dyDescent="0.25">
      <c r="B35" s="16">
        <v>39</v>
      </c>
      <c r="C35" s="95">
        <v>44895</v>
      </c>
      <c r="D35" s="84" t="s">
        <v>29</v>
      </c>
      <c r="E35" s="85" t="s">
        <v>6</v>
      </c>
      <c r="F35" s="86" t="s">
        <v>147</v>
      </c>
      <c r="G35" s="62">
        <v>1</v>
      </c>
      <c r="H35" s="87" t="s">
        <v>6</v>
      </c>
      <c r="I35" s="62">
        <v>0</v>
      </c>
      <c r="J35" s="64">
        <f t="shared" si="58"/>
        <v>1</v>
      </c>
      <c r="K35" s="63">
        <f>IF(OR(G35="",I35="",'Resultat &amp; tabell'!G35="",'Resultat &amp; tabell'!I35=""),0,IF(G35='Resultat &amp; tabell'!G35,2,0)+IF(I35='Resultat &amp; tabell'!I35,2,0)+IF(J35='Resultat &amp; tabell'!J35,3,0))</f>
        <v>0</v>
      </c>
      <c r="M35" s="187">
        <f>COUNTBLANK(G31:G36)+COUNTBLANK(I31:I36)</f>
        <v>0</v>
      </c>
      <c r="N35" s="23"/>
      <c r="O35" s="35"/>
      <c r="P35" s="23"/>
      <c r="Q35" s="23"/>
      <c r="S35" s="5"/>
      <c r="T35" s="5"/>
      <c r="U35" s="5"/>
      <c r="V35" s="5"/>
      <c r="W35" s="5"/>
      <c r="Z35" s="88" t="str">
        <f t="shared" si="59"/>
        <v>Australien</v>
      </c>
      <c r="AA35" s="89">
        <f t="shared" si="52"/>
        <v>3</v>
      </c>
      <c r="AB35" s="89">
        <f t="shared" si="53"/>
        <v>1</v>
      </c>
      <c r="AC35" s="89">
        <f t="shared" si="54"/>
        <v>0</v>
      </c>
      <c r="AD35" s="88" t="str">
        <f t="shared" si="60"/>
        <v>Danmark</v>
      </c>
      <c r="AE35" s="89">
        <f t="shared" si="55"/>
        <v>0</v>
      </c>
      <c r="AF35" s="73">
        <f t="shared" si="56"/>
        <v>0</v>
      </c>
      <c r="AG35" s="73">
        <f t="shared" si="57"/>
        <v>1</v>
      </c>
      <c r="AZ35" s="177"/>
      <c r="BA35" s="182"/>
      <c r="BB35" s="177"/>
      <c r="BC35" s="181"/>
      <c r="BD35" s="177"/>
      <c r="BE35" s="181"/>
      <c r="BF35" s="181"/>
      <c r="BG35" s="181"/>
      <c r="BH35" s="181"/>
      <c r="BI35" s="178"/>
      <c r="BL35" s="49"/>
      <c r="BM35" s="46"/>
      <c r="BN35" s="49"/>
      <c r="BO35" s="49"/>
    </row>
    <row r="36" spans="2:67" ht="14.25" customHeight="1" x14ac:dyDescent="0.25">
      <c r="B36" s="16">
        <v>40</v>
      </c>
      <c r="C36" s="95">
        <v>44895</v>
      </c>
      <c r="D36" s="84" t="s">
        <v>149</v>
      </c>
      <c r="E36" s="85" t="s">
        <v>6</v>
      </c>
      <c r="F36" s="86" t="s">
        <v>58</v>
      </c>
      <c r="G36" s="62">
        <v>1</v>
      </c>
      <c r="H36" s="87" t="s">
        <v>6</v>
      </c>
      <c r="I36" s="62">
        <v>0</v>
      </c>
      <c r="J36" s="64">
        <f t="shared" si="58"/>
        <v>1</v>
      </c>
      <c r="K36" s="63">
        <f>IF(OR(G36="",I36="",'Resultat &amp; tabell'!G36="",'Resultat &amp; tabell'!I36=""),0,IF(G36='Resultat &amp; tabell'!G36,2,0)+IF(I36='Resultat &amp; tabell'!I36,2,0)+IF(J36='Resultat &amp; tabell'!J36,3,0))</f>
        <v>0</v>
      </c>
      <c r="N36" s="117"/>
      <c r="O36" s="117"/>
      <c r="P36" s="23"/>
      <c r="Q36" s="23"/>
      <c r="S36" s="5"/>
      <c r="T36" s="5"/>
      <c r="U36" s="5"/>
      <c r="V36" s="5"/>
      <c r="W36" s="5"/>
      <c r="Z36" s="88" t="str">
        <f t="shared" si="59"/>
        <v>Tunisien</v>
      </c>
      <c r="AA36" s="89">
        <f t="shared" si="52"/>
        <v>3</v>
      </c>
      <c r="AB36" s="89">
        <f t="shared" si="53"/>
        <v>1</v>
      </c>
      <c r="AC36" s="89">
        <f t="shared" si="54"/>
        <v>0</v>
      </c>
      <c r="AD36" s="88" t="str">
        <f t="shared" si="60"/>
        <v>Frankrike</v>
      </c>
      <c r="AE36" s="89">
        <f t="shared" si="55"/>
        <v>0</v>
      </c>
      <c r="AF36" s="73">
        <f t="shared" si="56"/>
        <v>0</v>
      </c>
      <c r="AG36" s="73">
        <f t="shared" si="57"/>
        <v>1</v>
      </c>
      <c r="AZ36" s="177"/>
      <c r="BA36" s="182"/>
      <c r="BB36" s="177"/>
      <c r="BC36" s="181"/>
      <c r="BD36" s="177"/>
      <c r="BE36" s="181"/>
      <c r="BF36" s="181"/>
      <c r="BG36" s="181"/>
      <c r="BH36" s="181"/>
      <c r="BI36" s="178"/>
      <c r="BL36" s="49"/>
      <c r="BM36" s="46"/>
      <c r="BN36" s="49"/>
      <c r="BO36" s="49"/>
    </row>
    <row r="37" spans="2:67" ht="14.25" customHeight="1" x14ac:dyDescent="0.25">
      <c r="C37" s="38"/>
      <c r="F37" s="23"/>
      <c r="J37" s="24" t="str">
        <f t="shared" si="58"/>
        <v/>
      </c>
      <c r="K37" s="24"/>
      <c r="N37" s="23"/>
      <c r="O37" s="35"/>
      <c r="P37" s="23"/>
      <c r="Q37" s="23"/>
      <c r="S37" s="5"/>
      <c r="T37" s="5"/>
      <c r="U37" s="5"/>
      <c r="V37" s="5"/>
      <c r="W37" s="5"/>
      <c r="AA37" s="89">
        <f t="shared" si="52"/>
        <v>0</v>
      </c>
      <c r="AC37" s="89">
        <f t="shared" si="54"/>
        <v>0</v>
      </c>
      <c r="AE37" s="72">
        <f t="shared" si="55"/>
        <v>0</v>
      </c>
      <c r="AF37" s="73">
        <f t="shared" si="56"/>
        <v>0</v>
      </c>
      <c r="AZ37" s="177"/>
      <c r="BA37" s="182"/>
      <c r="BB37" s="177"/>
      <c r="BC37" s="181"/>
      <c r="BD37" s="177"/>
      <c r="BE37" s="181"/>
      <c r="BF37" s="181"/>
      <c r="BG37" s="181"/>
      <c r="BH37" s="181"/>
      <c r="BI37" s="178"/>
      <c r="BL37" s="49"/>
      <c r="BM37" s="46"/>
      <c r="BN37" s="49"/>
      <c r="BO37" s="49"/>
    </row>
    <row r="38" spans="2:67" s="26" customFormat="1" ht="14.25" customHeight="1" x14ac:dyDescent="0.25">
      <c r="B38" s="6" t="s">
        <v>55</v>
      </c>
      <c r="C38" s="104"/>
      <c r="D38" s="117"/>
      <c r="E38" s="27"/>
      <c r="F38" s="117"/>
      <c r="G38" s="27"/>
      <c r="H38" s="27"/>
      <c r="I38" s="27"/>
      <c r="J38" s="24"/>
      <c r="K38" s="24"/>
      <c r="L38" s="25"/>
      <c r="N38" s="27"/>
      <c r="O38" s="36"/>
      <c r="P38" s="27"/>
      <c r="Q38" s="27"/>
      <c r="S38" s="27"/>
      <c r="T38" s="27"/>
      <c r="U38" s="27"/>
      <c r="V38" s="27"/>
      <c r="W38" s="122"/>
      <c r="Z38" s="70"/>
      <c r="AA38" s="89"/>
      <c r="AB38" s="89"/>
      <c r="AC38" s="89"/>
      <c r="AD38" s="70"/>
      <c r="AE38" s="107"/>
      <c r="AF38" s="108"/>
      <c r="AG38" s="108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75"/>
      <c r="BA38" s="183"/>
      <c r="BB38" s="175"/>
      <c r="BC38" s="201"/>
      <c r="BD38" s="175"/>
      <c r="BE38" s="201"/>
      <c r="BF38" s="201"/>
      <c r="BG38" s="201"/>
      <c r="BH38" s="201"/>
      <c r="BI38" s="201"/>
      <c r="BJ38" s="110"/>
      <c r="BK38" s="1"/>
      <c r="BL38" s="24"/>
      <c r="BM38" s="123"/>
      <c r="BN38" s="24"/>
      <c r="BO38" s="24"/>
    </row>
    <row r="39" spans="2:67" s="26" customFormat="1" ht="14.25" customHeight="1" x14ac:dyDescent="0.25">
      <c r="B39" s="119" t="s">
        <v>2</v>
      </c>
      <c r="C39" s="112" t="s">
        <v>3</v>
      </c>
      <c r="D39" s="207" t="s">
        <v>2</v>
      </c>
      <c r="E39" s="208"/>
      <c r="F39" s="209"/>
      <c r="G39" s="208" t="s">
        <v>4</v>
      </c>
      <c r="H39" s="208"/>
      <c r="I39" s="208"/>
      <c r="J39" s="28" t="s">
        <v>69</v>
      </c>
      <c r="K39" s="7" t="s">
        <v>75</v>
      </c>
      <c r="L39" s="25"/>
      <c r="M39" s="8" t="s">
        <v>55</v>
      </c>
      <c r="N39" s="202" t="s">
        <v>75</v>
      </c>
      <c r="O39" s="202" t="s">
        <v>76</v>
      </c>
      <c r="P39" s="202" t="s">
        <v>77</v>
      </c>
      <c r="Q39" s="10" t="s">
        <v>87</v>
      </c>
      <c r="S39" s="27"/>
      <c r="T39" s="27"/>
      <c r="U39" s="27"/>
      <c r="V39" s="27"/>
      <c r="W39" s="122"/>
      <c r="Z39" s="81" t="s">
        <v>73</v>
      </c>
      <c r="AA39" s="81" t="s">
        <v>75</v>
      </c>
      <c r="AB39" s="81" t="s">
        <v>76</v>
      </c>
      <c r="AC39" s="81" t="s">
        <v>77</v>
      </c>
      <c r="AD39" s="81" t="s">
        <v>74</v>
      </c>
      <c r="AE39" s="81" t="s">
        <v>75</v>
      </c>
      <c r="AF39" s="81" t="s">
        <v>76</v>
      </c>
      <c r="AG39" s="81" t="s">
        <v>77</v>
      </c>
      <c r="AH39" s="107"/>
      <c r="AI39" s="82" t="s">
        <v>85</v>
      </c>
      <c r="AJ39" s="82" t="s">
        <v>84</v>
      </c>
      <c r="AK39" s="82" t="s">
        <v>83</v>
      </c>
      <c r="AL39" s="81" t="s">
        <v>82</v>
      </c>
      <c r="AM39" s="81" t="s">
        <v>81</v>
      </c>
      <c r="AN39" s="81" t="s">
        <v>78</v>
      </c>
      <c r="AO39" s="81" t="s">
        <v>75</v>
      </c>
      <c r="AP39" s="81" t="s">
        <v>76</v>
      </c>
      <c r="AQ39" s="81" t="s">
        <v>77</v>
      </c>
      <c r="AR39" s="82" t="s">
        <v>79</v>
      </c>
      <c r="AS39" s="107"/>
      <c r="AT39" s="81" t="s">
        <v>80</v>
      </c>
      <c r="AU39" s="81" t="s">
        <v>78</v>
      </c>
      <c r="AV39" s="81" t="s">
        <v>75</v>
      </c>
      <c r="AW39" s="81" t="s">
        <v>76</v>
      </c>
      <c r="AX39" s="81" t="s">
        <v>77</v>
      </c>
      <c r="AY39" s="82" t="s">
        <v>79</v>
      </c>
      <c r="AZ39" s="175"/>
      <c r="BA39" s="175"/>
      <c r="BB39" s="201"/>
      <c r="BC39" s="201"/>
      <c r="BD39" s="201"/>
      <c r="BE39" s="206"/>
      <c r="BF39" s="206"/>
      <c r="BG39" s="206"/>
      <c r="BH39" s="201"/>
      <c r="BI39" s="201"/>
      <c r="BJ39" s="110"/>
      <c r="BK39" s="114"/>
      <c r="BL39" s="24"/>
      <c r="BM39" s="24"/>
      <c r="BN39" s="24"/>
      <c r="BO39" s="24"/>
    </row>
    <row r="40" spans="2:67" ht="14.25" customHeight="1" x14ac:dyDescent="0.25">
      <c r="B40" s="16">
        <v>10</v>
      </c>
      <c r="C40" s="95">
        <v>44888</v>
      </c>
      <c r="D40" s="84" t="s">
        <v>27</v>
      </c>
      <c r="E40" s="85" t="s">
        <v>6</v>
      </c>
      <c r="F40" s="86" t="s">
        <v>51</v>
      </c>
      <c r="G40" s="62">
        <v>1</v>
      </c>
      <c r="H40" s="87" t="s">
        <v>6</v>
      </c>
      <c r="I40" s="62">
        <v>0</v>
      </c>
      <c r="J40" s="64">
        <f>IF(OR(ISBLANK(G40),ISBLANK(I40)),"",IF(G40&gt;I40,1,IF(G40&lt;I40,2,"X")))</f>
        <v>1</v>
      </c>
      <c r="K40" s="63">
        <f>IF(OR(G40="",I40="",'Resultat &amp; tabell'!G40="",'Resultat &amp; tabell'!I40=""),0,IF(G40='Resultat &amp; tabell'!G40,2,0)+IF(I40='Resultat &amp; tabell'!I40,2,0)+IF(J40='Resultat &amp; tabell'!J40,3,0))</f>
        <v>0</v>
      </c>
      <c r="L40" s="12">
        <v>1</v>
      </c>
      <c r="M40" s="13" t="str">
        <f>VLOOKUP(L40,AT40:AY43,2,FALSE)</f>
        <v>Spanien</v>
      </c>
      <c r="N40" s="14">
        <f>VLOOKUP(M40,$AU$40:$AY$43,2,FALSE)</f>
        <v>6</v>
      </c>
      <c r="O40" s="14">
        <f>VLOOKUP(M40,$AU$40:$AY$43,3,FALSE)</f>
        <v>2</v>
      </c>
      <c r="P40" s="14">
        <f>VLOOKUP(M40,$AU$40:$AY$43,4,FALSE)</f>
        <v>1</v>
      </c>
      <c r="Q40" s="15">
        <f>VLOOKUP(M40,$AU$40:$AY$43,5,FALSE)</f>
        <v>1</v>
      </c>
      <c r="Z40" s="88" t="str">
        <f>D40</f>
        <v>Spanien</v>
      </c>
      <c r="AA40" s="89">
        <f t="shared" ref="AA40:AA45" si="73">IF(G40="",0,IF($G40&lt;$I40,0,IF($G40=$I40,1,3)))</f>
        <v>3</v>
      </c>
      <c r="AB40" s="89">
        <f t="shared" ref="AB40:AB45" si="74">G40</f>
        <v>1</v>
      </c>
      <c r="AC40" s="89">
        <f t="shared" ref="AC40:AC45" si="75">I40</f>
        <v>0</v>
      </c>
      <c r="AD40" s="88" t="str">
        <f>F40</f>
        <v>Costa Rica</v>
      </c>
      <c r="AE40" s="89">
        <f t="shared" ref="AE40:AE45" si="76">IF(I40="",0,IF(I40&lt;G40,0,IF(G40=I40,1,3)))</f>
        <v>0</v>
      </c>
      <c r="AF40" s="73">
        <f t="shared" ref="AF40:AF45" si="77">I40</f>
        <v>0</v>
      </c>
      <c r="AG40" s="73">
        <f t="shared" ref="AG40:AG45" si="78">G40</f>
        <v>1</v>
      </c>
      <c r="AI40" s="72">
        <f>RANK($AJ40,$AJ$40:$AJ$43,1)+COUNTIF($AJ$40:$AJ40,$AJ40)-1</f>
        <v>1</v>
      </c>
      <c r="AJ40" s="72">
        <f>AK40+AL40+AM40</f>
        <v>1</v>
      </c>
      <c r="AK40" s="72">
        <f>SUMPRODUCT(($AO$40:$AO$43=AO40)*($AR$40:$AR$43=AR40)*($AP$40:$AP$43&gt;AP40))</f>
        <v>0</v>
      </c>
      <c r="AL40" s="72">
        <f>SUMPRODUCT(($AO$40:$AO$43=AO40)*($AR$40:$AR$43&gt;AR40))</f>
        <v>0</v>
      </c>
      <c r="AM40" s="72">
        <f>RANK(AO40,$AO$40:$AO$43)</f>
        <v>1</v>
      </c>
      <c r="AN40" s="88" t="s">
        <v>27</v>
      </c>
      <c r="AO40" s="72">
        <f>SUMIF($Z$40:$Z$45,$AN40,$AA$40:$AA$45)+SUMIF($AD$40:$AD$45,$AN40,$AE$40:$AE$45)</f>
        <v>6</v>
      </c>
      <c r="AP40" s="72">
        <f>SUMIF($Z$40:$Z$45,$AN40,$AB$40:$AB$45)+SUMIF($AD$40:$AD$45,$AN40,$AF$40:$AF$45)</f>
        <v>2</v>
      </c>
      <c r="AQ40" s="72">
        <f>SUMIF($Z$40:$Z$45,$AN40,$AC$40:$AC$45)+SUMIF($AD$40:$AD$45,$AN40,$AG$40:$AG$45)</f>
        <v>1</v>
      </c>
      <c r="AR40" s="72">
        <f>AP40-AQ40</f>
        <v>1</v>
      </c>
      <c r="AT40" s="72">
        <v>1</v>
      </c>
      <c r="AU40" s="72" t="str">
        <f>VLOOKUP($AT40,$AI$40:$AR$43,6,FALSE)</f>
        <v>Spanien</v>
      </c>
      <c r="AV40" s="72">
        <f>VLOOKUP($AU40,$AN$40:$AR$43,2,FALSE)</f>
        <v>6</v>
      </c>
      <c r="AW40" s="72">
        <f>VLOOKUP($AU40,$AN$40:$AR$43,3,FALSE)</f>
        <v>2</v>
      </c>
      <c r="AX40" s="72">
        <f>VLOOKUP($AU40,$AN$40:$AR$43,4,FALSE)</f>
        <v>1</v>
      </c>
      <c r="AY40" s="72">
        <f>VLOOKUP($AU40,$AN$40:$AR$43,5,FALSE)</f>
        <v>1</v>
      </c>
      <c r="AZ40" s="177"/>
      <c r="BA40" s="182"/>
      <c r="BB40" s="177"/>
      <c r="BC40" s="181"/>
      <c r="BD40" s="177"/>
      <c r="BE40" s="181"/>
      <c r="BF40" s="181"/>
      <c r="BG40" s="181"/>
      <c r="BH40" s="181"/>
      <c r="BI40" s="178"/>
      <c r="BJ40" s="94"/>
      <c r="BK40" s="74"/>
      <c r="BL40" s="49"/>
      <c r="BM40" s="49"/>
      <c r="BN40" s="49"/>
      <c r="BO40" s="49"/>
    </row>
    <row r="41" spans="2:67" ht="14.25" customHeight="1" x14ac:dyDescent="0.25">
      <c r="B41" s="16">
        <v>11</v>
      </c>
      <c r="C41" s="95">
        <v>44888</v>
      </c>
      <c r="D41" s="84" t="s">
        <v>63</v>
      </c>
      <c r="E41" s="85" t="s">
        <v>6</v>
      </c>
      <c r="F41" s="86" t="s">
        <v>42</v>
      </c>
      <c r="G41" s="62">
        <v>1</v>
      </c>
      <c r="H41" s="87" t="s">
        <v>6</v>
      </c>
      <c r="I41" s="62">
        <v>0</v>
      </c>
      <c r="J41" s="64">
        <f t="shared" ref="J41:J45" si="79">IF(OR(ISBLANK(G41),ISBLANK(I41)),"",IF(G41&gt;I41,1,IF(G41&lt;I41,2,"X")))</f>
        <v>1</v>
      </c>
      <c r="K41" s="63">
        <f>IF(OR(G41="",I41="",'Resultat &amp; tabell'!G41="",'Resultat &amp; tabell'!I41=""),0,IF(G41='Resultat &amp; tabell'!G41,2,0)+IF(I41='Resultat &amp; tabell'!I41,2,0)+IF(J41='Resultat &amp; tabell'!J41,3,0))</f>
        <v>0</v>
      </c>
      <c r="L41" s="2">
        <v>2</v>
      </c>
      <c r="M41" s="17" t="str">
        <f>VLOOKUP(L41,AT40:AY43,2,FALSE)</f>
        <v>Japan</v>
      </c>
      <c r="N41" s="18">
        <f>VLOOKUP(M41,$AU$40:$AY$43,2,FALSE)</f>
        <v>6</v>
      </c>
      <c r="O41" s="18">
        <f>VLOOKUP(M41,$AU$40:$AY$43,3,FALSE)</f>
        <v>2</v>
      </c>
      <c r="P41" s="18">
        <f>VLOOKUP(M41,$AU$40:$AY$43,4,FALSE)</f>
        <v>1</v>
      </c>
      <c r="Q41" s="19">
        <f>VLOOKUP(M41,$AU$40:$AY$43,5,FALSE)</f>
        <v>1</v>
      </c>
      <c r="Z41" s="88" t="str">
        <f t="shared" ref="Z41:Z45" si="80">D41</f>
        <v>Tyskland</v>
      </c>
      <c r="AA41" s="89">
        <f t="shared" si="73"/>
        <v>3</v>
      </c>
      <c r="AB41" s="89">
        <f t="shared" si="74"/>
        <v>1</v>
      </c>
      <c r="AC41" s="89">
        <f t="shared" si="75"/>
        <v>0</v>
      </c>
      <c r="AD41" s="88" t="str">
        <f t="shared" ref="AD41:AD45" si="81">F41</f>
        <v>Japan</v>
      </c>
      <c r="AE41" s="89">
        <f t="shared" si="76"/>
        <v>0</v>
      </c>
      <c r="AF41" s="73">
        <f t="shared" si="77"/>
        <v>0</v>
      </c>
      <c r="AG41" s="73">
        <f t="shared" si="78"/>
        <v>1</v>
      </c>
      <c r="AI41" s="72">
        <f>RANK($AJ41,$AJ$40:$AJ$43,1)+COUNTIF($AJ$40:$AJ41,$AJ41)-1</f>
        <v>3</v>
      </c>
      <c r="AJ41" s="72">
        <f>AK41+AL41+AM41</f>
        <v>3</v>
      </c>
      <c r="AK41" s="72">
        <f t="shared" ref="AK41:AK43" si="82">SUMPRODUCT(($AO$40:$AO$43=AO41)*($AR$40:$AR$43=AR41)*($AP$40:$AP$43&gt;AP41))</f>
        <v>0</v>
      </c>
      <c r="AL41" s="72">
        <f t="shared" ref="AL41:AL43" si="83">SUMPRODUCT(($AO$40:$AO$43=AO41)*($AR$40:$AR$43&gt;AR41))</f>
        <v>0</v>
      </c>
      <c r="AM41" s="72">
        <f t="shared" ref="AM41:AM43" si="84">RANK(AO41,$AO$40:$AO$43)</f>
        <v>3</v>
      </c>
      <c r="AN41" s="88" t="s">
        <v>63</v>
      </c>
      <c r="AO41" s="72">
        <f t="shared" ref="AO41:AO43" si="85">SUMIF($Z$40:$Z$45,$AN41,$AA$40:$AA$45)+SUMIF($AD$40:$AD$45,$AN41,$AE$40:$AE$45)</f>
        <v>3</v>
      </c>
      <c r="AP41" s="72">
        <f t="shared" ref="AP41:AP43" si="86">SUMIF($Z$40:$Z$45,$AN41,$AB$40:$AB$45)+SUMIF($AD$40:$AD$45,$AN41,$AF$40:$AF$45)</f>
        <v>1</v>
      </c>
      <c r="AQ41" s="72">
        <f t="shared" ref="AQ41:AQ43" si="87">SUMIF($Z$40:$Z$45,$AN41,$AC$40:$AC$45)+SUMIF($AD$40:$AD$45,$AN41,$AG$40:$AG$45)</f>
        <v>2</v>
      </c>
      <c r="AR41" s="72">
        <f t="shared" ref="AR41:AR43" si="88">AP41-AQ41</f>
        <v>-1</v>
      </c>
      <c r="AT41" s="72">
        <v>2</v>
      </c>
      <c r="AU41" s="72" t="str">
        <f t="shared" ref="AU41:AU43" si="89">VLOOKUP($AT41,$AI$40:$AR$43,6,FALSE)</f>
        <v>Japan</v>
      </c>
      <c r="AV41" s="72">
        <f t="shared" ref="AV41:AV43" si="90">VLOOKUP($AU41,$AN$40:$AR$43,2,FALSE)</f>
        <v>6</v>
      </c>
      <c r="AW41" s="72">
        <f t="shared" ref="AW41:AW43" si="91">VLOOKUP($AU41,$AN$40:$AR$43,3,FALSE)</f>
        <v>2</v>
      </c>
      <c r="AX41" s="72">
        <f t="shared" ref="AX41:AX43" si="92">VLOOKUP($AU41,$AN$40:$AR$43,4,FALSE)</f>
        <v>1</v>
      </c>
      <c r="AY41" s="72">
        <f t="shared" ref="AY41:AY43" si="93">VLOOKUP($AU41,$AN$40:$AR$43,5,FALSE)</f>
        <v>1</v>
      </c>
      <c r="AZ41" s="177"/>
      <c r="BA41" s="182"/>
      <c r="BB41" s="177"/>
      <c r="BC41" s="181"/>
      <c r="BD41" s="177"/>
      <c r="BE41" s="181"/>
      <c r="BF41" s="181"/>
      <c r="BG41" s="181"/>
      <c r="BH41" s="181"/>
      <c r="BI41" s="178"/>
      <c r="BK41" s="74"/>
      <c r="BL41" s="49"/>
      <c r="BM41" s="49"/>
      <c r="BN41" s="49"/>
      <c r="BO41" s="49"/>
    </row>
    <row r="42" spans="2:67" ht="14.25" customHeight="1" x14ac:dyDescent="0.25">
      <c r="B42" s="16">
        <v>25</v>
      </c>
      <c r="C42" s="95">
        <v>44892</v>
      </c>
      <c r="D42" s="84" t="s">
        <v>42</v>
      </c>
      <c r="E42" s="85" t="s">
        <v>6</v>
      </c>
      <c r="F42" s="86" t="s">
        <v>51</v>
      </c>
      <c r="G42" s="62">
        <v>1</v>
      </c>
      <c r="H42" s="87" t="s">
        <v>6</v>
      </c>
      <c r="I42" s="62">
        <v>0</v>
      </c>
      <c r="J42" s="64">
        <f t="shared" si="79"/>
        <v>1</v>
      </c>
      <c r="K42" s="63">
        <f>IF(OR(G42="",I42="",'Resultat &amp; tabell'!G42="",'Resultat &amp; tabell'!I42=""),0,IF(G42='Resultat &amp; tabell'!G42,2,0)+IF(I42='Resultat &amp; tabell'!I42,2,0)+IF(J42='Resultat &amp; tabell'!J42,3,0))</f>
        <v>0</v>
      </c>
      <c r="L42" s="2">
        <v>3</v>
      </c>
      <c r="M42" s="20" t="str">
        <f>VLOOKUP(L42,AT40:AY43,2,FALSE)</f>
        <v>Tyskland</v>
      </c>
      <c r="N42" s="32">
        <f>VLOOKUP(M42,$AU$40:$AY$43,2,FALSE)</f>
        <v>3</v>
      </c>
      <c r="O42" s="32">
        <f>VLOOKUP(M42,$AU$40:$AY$43,3,FALSE)</f>
        <v>1</v>
      </c>
      <c r="P42" s="32">
        <f>VLOOKUP(M42,$AU$40:$AY$43,4,FALSE)</f>
        <v>2</v>
      </c>
      <c r="Q42" s="33">
        <f>VLOOKUP(M42,$AU$40:$AY$43,5,FALSE)</f>
        <v>-1</v>
      </c>
      <c r="Z42" s="88" t="str">
        <f t="shared" si="80"/>
        <v>Japan</v>
      </c>
      <c r="AA42" s="89">
        <f t="shared" si="73"/>
        <v>3</v>
      </c>
      <c r="AB42" s="89">
        <f t="shared" si="74"/>
        <v>1</v>
      </c>
      <c r="AC42" s="89">
        <f t="shared" si="75"/>
        <v>0</v>
      </c>
      <c r="AD42" s="88" t="str">
        <f t="shared" si="81"/>
        <v>Costa Rica</v>
      </c>
      <c r="AE42" s="89">
        <f t="shared" si="76"/>
        <v>0</v>
      </c>
      <c r="AF42" s="73">
        <f t="shared" si="77"/>
        <v>0</v>
      </c>
      <c r="AG42" s="73">
        <f t="shared" si="78"/>
        <v>1</v>
      </c>
      <c r="AI42" s="72">
        <f>RANK($AJ42,$AJ$40:$AJ$43,1)+COUNTIF($AJ$40:$AJ42,$AJ42)-1</f>
        <v>2</v>
      </c>
      <c r="AJ42" s="72">
        <f>AK42+AL42+AM42</f>
        <v>1</v>
      </c>
      <c r="AK42" s="72">
        <f t="shared" si="82"/>
        <v>0</v>
      </c>
      <c r="AL42" s="72">
        <f t="shared" si="83"/>
        <v>0</v>
      </c>
      <c r="AM42" s="72">
        <f t="shared" si="84"/>
        <v>1</v>
      </c>
      <c r="AN42" s="88" t="s">
        <v>42</v>
      </c>
      <c r="AO42" s="72">
        <f t="shared" si="85"/>
        <v>6</v>
      </c>
      <c r="AP42" s="72">
        <f t="shared" si="86"/>
        <v>2</v>
      </c>
      <c r="AQ42" s="72">
        <f t="shared" si="87"/>
        <v>1</v>
      </c>
      <c r="AR42" s="72">
        <f t="shared" si="88"/>
        <v>1</v>
      </c>
      <c r="AT42" s="72">
        <v>3</v>
      </c>
      <c r="AU42" s="72" t="str">
        <f t="shared" si="89"/>
        <v>Tyskland</v>
      </c>
      <c r="AV42" s="72">
        <f t="shared" si="90"/>
        <v>3</v>
      </c>
      <c r="AW42" s="72">
        <f t="shared" si="91"/>
        <v>1</v>
      </c>
      <c r="AX42" s="72">
        <f t="shared" si="92"/>
        <v>2</v>
      </c>
      <c r="AY42" s="72">
        <f t="shared" si="93"/>
        <v>-1</v>
      </c>
      <c r="AZ42" s="177"/>
      <c r="BA42" s="182"/>
      <c r="BB42" s="177"/>
      <c r="BC42" s="181"/>
      <c r="BD42" s="177"/>
      <c r="BE42" s="181"/>
      <c r="BF42" s="181"/>
      <c r="BG42" s="181"/>
      <c r="BH42" s="181"/>
      <c r="BI42" s="178"/>
      <c r="BK42" s="45"/>
      <c r="BL42" s="49"/>
      <c r="BM42" s="49"/>
      <c r="BN42" s="49"/>
      <c r="BO42" s="49"/>
    </row>
    <row r="43" spans="2:67" ht="14.25" customHeight="1" x14ac:dyDescent="0.25">
      <c r="B43" s="16">
        <v>28</v>
      </c>
      <c r="C43" s="95">
        <v>44892</v>
      </c>
      <c r="D43" s="84" t="s">
        <v>27</v>
      </c>
      <c r="E43" s="85" t="s">
        <v>6</v>
      </c>
      <c r="F43" s="86" t="s">
        <v>63</v>
      </c>
      <c r="G43" s="62">
        <v>1</v>
      </c>
      <c r="H43" s="87" t="s">
        <v>6</v>
      </c>
      <c r="I43" s="62">
        <v>0</v>
      </c>
      <c r="J43" s="64">
        <f t="shared" si="79"/>
        <v>1</v>
      </c>
      <c r="K43" s="63">
        <f>IF(OR(G43="",I43="",'Resultat &amp; tabell'!G43="",'Resultat &amp; tabell'!I43=""),0,IF(G43='Resultat &amp; tabell'!G43,2,0)+IF(I43='Resultat &amp; tabell'!I43,2,0)+IF(J43='Resultat &amp; tabell'!J43,3,0))</f>
        <v>0</v>
      </c>
      <c r="L43" s="2">
        <v>4</v>
      </c>
      <c r="M43" s="21" t="str">
        <f>VLOOKUP(L43,AT40:AY43,2,FALSE)</f>
        <v>Costa Rica</v>
      </c>
      <c r="N43" s="18">
        <f>VLOOKUP(M43,$AU$40:$AY$43,2,FALSE)</f>
        <v>3</v>
      </c>
      <c r="O43" s="18">
        <f>VLOOKUP(M43,$AU$40:$AY$43,3,FALSE)</f>
        <v>1</v>
      </c>
      <c r="P43" s="18">
        <f>VLOOKUP(M43,$AU$40:$AY$43,4,FALSE)</f>
        <v>2</v>
      </c>
      <c r="Q43" s="19">
        <f>VLOOKUP(M43,$AU$40:$AY$43,5,FALSE)</f>
        <v>-1</v>
      </c>
      <c r="Z43" s="88" t="str">
        <f t="shared" si="80"/>
        <v>Spanien</v>
      </c>
      <c r="AA43" s="89">
        <f t="shared" si="73"/>
        <v>3</v>
      </c>
      <c r="AB43" s="89">
        <f t="shared" si="74"/>
        <v>1</v>
      </c>
      <c r="AC43" s="89">
        <f t="shared" si="75"/>
        <v>0</v>
      </c>
      <c r="AD43" s="88" t="str">
        <f t="shared" si="81"/>
        <v>Tyskland</v>
      </c>
      <c r="AE43" s="89">
        <f t="shared" si="76"/>
        <v>0</v>
      </c>
      <c r="AF43" s="73">
        <f t="shared" si="77"/>
        <v>0</v>
      </c>
      <c r="AG43" s="73">
        <f t="shared" si="78"/>
        <v>1</v>
      </c>
      <c r="AI43" s="72">
        <f>RANK($AJ43,$AJ$40:$AJ$43,1)+COUNTIF($AJ$40:$AJ43,$AJ43)-1</f>
        <v>4</v>
      </c>
      <c r="AJ43" s="72">
        <f>AK43+AL43+AM43</f>
        <v>3</v>
      </c>
      <c r="AK43" s="72">
        <f t="shared" si="82"/>
        <v>0</v>
      </c>
      <c r="AL43" s="72">
        <f t="shared" si="83"/>
        <v>0</v>
      </c>
      <c r="AM43" s="72">
        <f t="shared" si="84"/>
        <v>3</v>
      </c>
      <c r="AN43" s="88" t="s">
        <v>51</v>
      </c>
      <c r="AO43" s="72">
        <f t="shared" si="85"/>
        <v>3</v>
      </c>
      <c r="AP43" s="72">
        <f t="shared" si="86"/>
        <v>1</v>
      </c>
      <c r="AQ43" s="72">
        <f t="shared" si="87"/>
        <v>2</v>
      </c>
      <c r="AR43" s="72">
        <f t="shared" si="88"/>
        <v>-1</v>
      </c>
      <c r="AT43" s="72">
        <v>4</v>
      </c>
      <c r="AU43" s="72" t="str">
        <f t="shared" si="89"/>
        <v>Costa Rica</v>
      </c>
      <c r="AV43" s="72">
        <f t="shared" si="90"/>
        <v>3</v>
      </c>
      <c r="AW43" s="72">
        <f t="shared" si="91"/>
        <v>1</v>
      </c>
      <c r="AX43" s="72">
        <f t="shared" si="92"/>
        <v>2</v>
      </c>
      <c r="AY43" s="72">
        <f t="shared" si="93"/>
        <v>-1</v>
      </c>
      <c r="AZ43" s="177"/>
      <c r="BA43" s="182"/>
      <c r="BB43" s="177"/>
      <c r="BC43" s="181"/>
      <c r="BD43" s="177"/>
      <c r="BE43" s="181"/>
      <c r="BF43" s="181"/>
      <c r="BG43" s="181"/>
      <c r="BH43" s="181"/>
      <c r="BI43" s="178"/>
      <c r="BK43" s="45"/>
      <c r="BL43" s="49"/>
      <c r="BM43" s="49"/>
      <c r="BN43" s="49"/>
      <c r="BO43" s="49"/>
    </row>
    <row r="44" spans="2:67" ht="14.25" customHeight="1" x14ac:dyDescent="0.25">
      <c r="B44" s="16">
        <v>43</v>
      </c>
      <c r="C44" s="95">
        <v>44896</v>
      </c>
      <c r="D44" s="84" t="s">
        <v>42</v>
      </c>
      <c r="E44" s="85" t="s">
        <v>6</v>
      </c>
      <c r="F44" s="86" t="s">
        <v>27</v>
      </c>
      <c r="G44" s="62">
        <v>1</v>
      </c>
      <c r="H44" s="87" t="s">
        <v>6</v>
      </c>
      <c r="I44" s="62">
        <v>0</v>
      </c>
      <c r="J44" s="64">
        <f t="shared" si="79"/>
        <v>1</v>
      </c>
      <c r="K44" s="63">
        <f>IF(OR(G44="",I44="",'Resultat &amp; tabell'!G44="",'Resultat &amp; tabell'!I44=""),0,IF(G44='Resultat &amp; tabell'!G44,2,0)+IF(I44='Resultat &amp; tabell'!I44,2,0)+IF(J44='Resultat &amp; tabell'!J44,3,0))</f>
        <v>0</v>
      </c>
      <c r="M44" s="187">
        <f>COUNTBLANK(G40:G45)+COUNTBLANK(I40:I45)</f>
        <v>0</v>
      </c>
      <c r="N44" s="32"/>
      <c r="O44" s="117"/>
      <c r="P44" s="32"/>
      <c r="Q44" s="32"/>
      <c r="Z44" s="88" t="str">
        <f t="shared" si="80"/>
        <v>Japan</v>
      </c>
      <c r="AA44" s="89">
        <f t="shared" si="73"/>
        <v>3</v>
      </c>
      <c r="AB44" s="89">
        <f t="shared" si="74"/>
        <v>1</v>
      </c>
      <c r="AC44" s="89">
        <f t="shared" si="75"/>
        <v>0</v>
      </c>
      <c r="AD44" s="88" t="str">
        <f t="shared" si="81"/>
        <v>Spanien</v>
      </c>
      <c r="AE44" s="89">
        <f t="shared" si="76"/>
        <v>0</v>
      </c>
      <c r="AF44" s="73">
        <f t="shared" si="77"/>
        <v>0</v>
      </c>
      <c r="AG44" s="73">
        <f t="shared" si="78"/>
        <v>1</v>
      </c>
      <c r="AZ44" s="177"/>
      <c r="BA44" s="182"/>
      <c r="BB44" s="177"/>
      <c r="BC44" s="181"/>
      <c r="BD44" s="177"/>
      <c r="BE44" s="181"/>
      <c r="BF44" s="181"/>
      <c r="BG44" s="181"/>
      <c r="BH44" s="181"/>
      <c r="BI44" s="178"/>
      <c r="BL44" s="49"/>
      <c r="BM44" s="49"/>
      <c r="BN44" s="49"/>
      <c r="BO44" s="49"/>
    </row>
    <row r="45" spans="2:67" ht="14.25" customHeight="1" x14ac:dyDescent="0.25">
      <c r="B45" s="16">
        <v>44</v>
      </c>
      <c r="C45" s="95">
        <v>44896</v>
      </c>
      <c r="D45" s="84" t="s">
        <v>51</v>
      </c>
      <c r="E45" s="85" t="s">
        <v>6</v>
      </c>
      <c r="F45" s="86" t="s">
        <v>63</v>
      </c>
      <c r="G45" s="62">
        <v>1</v>
      </c>
      <c r="H45" s="87" t="s">
        <v>6</v>
      </c>
      <c r="I45" s="62">
        <v>0</v>
      </c>
      <c r="J45" s="64">
        <f t="shared" si="79"/>
        <v>1</v>
      </c>
      <c r="K45" s="63">
        <f>IF(OR(G45="",I45="",'Resultat &amp; tabell'!G45="",'Resultat &amp; tabell'!I45=""),0,IF(G45='Resultat &amp; tabell'!G45,2,0)+IF(I45='Resultat &amp; tabell'!I45,2,0)+IF(J45='Resultat &amp; tabell'!J45,3,0))</f>
        <v>0</v>
      </c>
      <c r="M45" s="115"/>
      <c r="N45" s="117"/>
      <c r="O45" s="32"/>
      <c r="P45" s="32"/>
      <c r="Q45" s="32"/>
      <c r="Z45" s="88" t="str">
        <f t="shared" si="80"/>
        <v>Costa Rica</v>
      </c>
      <c r="AA45" s="89">
        <f t="shared" si="73"/>
        <v>3</v>
      </c>
      <c r="AB45" s="89">
        <f t="shared" si="74"/>
        <v>1</v>
      </c>
      <c r="AC45" s="89">
        <f t="shared" si="75"/>
        <v>0</v>
      </c>
      <c r="AD45" s="88" t="str">
        <f t="shared" si="81"/>
        <v>Tyskland</v>
      </c>
      <c r="AE45" s="89">
        <f t="shared" si="76"/>
        <v>0</v>
      </c>
      <c r="AF45" s="73">
        <f t="shared" si="77"/>
        <v>0</v>
      </c>
      <c r="AG45" s="73">
        <f t="shared" si="78"/>
        <v>1</v>
      </c>
      <c r="AZ45" s="177"/>
      <c r="BA45" s="182"/>
      <c r="BB45" s="177"/>
      <c r="BC45" s="181"/>
      <c r="BD45" s="177"/>
      <c r="BE45" s="181"/>
      <c r="BF45" s="181"/>
      <c r="BG45" s="181"/>
      <c r="BH45" s="181"/>
      <c r="BI45" s="178"/>
      <c r="BL45" s="49"/>
      <c r="BM45" s="49"/>
      <c r="BN45" s="49"/>
      <c r="BO45" s="49"/>
    </row>
    <row r="46" spans="2:67" ht="14.25" customHeight="1" x14ac:dyDescent="0.25">
      <c r="C46" s="38"/>
      <c r="J46" s="24"/>
      <c r="K46" s="24"/>
      <c r="N46" s="23"/>
      <c r="O46" s="35"/>
      <c r="P46" s="23"/>
      <c r="Q46" s="23"/>
      <c r="AZ46" s="177"/>
      <c r="BA46" s="182"/>
      <c r="BB46" s="177"/>
      <c r="BC46" s="181"/>
      <c r="BD46" s="177"/>
      <c r="BE46" s="181"/>
      <c r="BF46" s="181"/>
      <c r="BG46" s="181"/>
      <c r="BH46" s="181"/>
      <c r="BI46" s="178"/>
      <c r="BL46" s="49"/>
      <c r="BM46" s="46"/>
      <c r="BN46" s="49"/>
      <c r="BO46" s="49"/>
    </row>
    <row r="47" spans="2:67" s="26" customFormat="1" ht="14.25" customHeight="1" x14ac:dyDescent="0.25">
      <c r="B47" s="6" t="s">
        <v>59</v>
      </c>
      <c r="C47" s="104"/>
      <c r="D47" s="117"/>
      <c r="E47" s="27"/>
      <c r="F47" s="117"/>
      <c r="G47" s="27"/>
      <c r="H47" s="27"/>
      <c r="I47" s="27"/>
      <c r="J47" s="24"/>
      <c r="K47" s="24"/>
      <c r="L47" s="25"/>
      <c r="N47" s="117"/>
      <c r="O47" s="36"/>
      <c r="P47" s="27"/>
      <c r="Q47" s="27"/>
      <c r="S47" s="27"/>
      <c r="T47" s="27"/>
      <c r="U47" s="27"/>
      <c r="V47" s="27"/>
      <c r="W47" s="122"/>
      <c r="Z47" s="70"/>
      <c r="AA47" s="89"/>
      <c r="AB47" s="89"/>
      <c r="AC47" s="89"/>
      <c r="AD47" s="70"/>
      <c r="AE47" s="107"/>
      <c r="AF47" s="108"/>
      <c r="AG47" s="108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75"/>
      <c r="BA47" s="183"/>
      <c r="BB47" s="175"/>
      <c r="BC47" s="201"/>
      <c r="BD47" s="175"/>
      <c r="BE47" s="201"/>
      <c r="BF47" s="201"/>
      <c r="BG47" s="201"/>
      <c r="BH47" s="201"/>
      <c r="BI47" s="201"/>
      <c r="BJ47" s="110"/>
      <c r="BK47" s="1"/>
      <c r="BL47" s="24"/>
      <c r="BM47" s="123"/>
      <c r="BN47" s="24"/>
      <c r="BO47" s="24"/>
    </row>
    <row r="48" spans="2:67" s="26" customFormat="1" ht="14.25" customHeight="1" x14ac:dyDescent="0.25">
      <c r="B48" s="119" t="s">
        <v>2</v>
      </c>
      <c r="C48" s="112" t="s">
        <v>3</v>
      </c>
      <c r="D48" s="207" t="s">
        <v>2</v>
      </c>
      <c r="E48" s="208"/>
      <c r="F48" s="209"/>
      <c r="G48" s="208" t="s">
        <v>4</v>
      </c>
      <c r="H48" s="208"/>
      <c r="I48" s="208"/>
      <c r="J48" s="28" t="s">
        <v>69</v>
      </c>
      <c r="K48" s="7" t="s">
        <v>75</v>
      </c>
      <c r="L48" s="25"/>
      <c r="M48" s="8" t="s">
        <v>59</v>
      </c>
      <c r="N48" s="202" t="s">
        <v>75</v>
      </c>
      <c r="O48" s="202" t="s">
        <v>76</v>
      </c>
      <c r="P48" s="202" t="s">
        <v>77</v>
      </c>
      <c r="Q48" s="10" t="s">
        <v>87</v>
      </c>
      <c r="S48" s="27"/>
      <c r="T48" s="27"/>
      <c r="U48" s="27"/>
      <c r="V48" s="27"/>
      <c r="W48" s="122"/>
      <c r="Z48" s="81" t="s">
        <v>73</v>
      </c>
      <c r="AA48" s="81" t="s">
        <v>75</v>
      </c>
      <c r="AB48" s="81" t="s">
        <v>76</v>
      </c>
      <c r="AC48" s="81" t="s">
        <v>77</v>
      </c>
      <c r="AD48" s="81" t="s">
        <v>74</v>
      </c>
      <c r="AE48" s="81" t="s">
        <v>75</v>
      </c>
      <c r="AF48" s="81" t="s">
        <v>76</v>
      </c>
      <c r="AG48" s="81" t="s">
        <v>77</v>
      </c>
      <c r="AH48" s="107"/>
      <c r="AI48" s="82" t="s">
        <v>85</v>
      </c>
      <c r="AJ48" s="82" t="s">
        <v>84</v>
      </c>
      <c r="AK48" s="82" t="s">
        <v>83</v>
      </c>
      <c r="AL48" s="81" t="s">
        <v>82</v>
      </c>
      <c r="AM48" s="81" t="s">
        <v>81</v>
      </c>
      <c r="AN48" s="81" t="s">
        <v>78</v>
      </c>
      <c r="AO48" s="81" t="s">
        <v>75</v>
      </c>
      <c r="AP48" s="81" t="s">
        <v>76</v>
      </c>
      <c r="AQ48" s="81" t="s">
        <v>77</v>
      </c>
      <c r="AR48" s="82" t="s">
        <v>79</v>
      </c>
      <c r="AS48" s="107"/>
      <c r="AT48" s="81" t="s">
        <v>80</v>
      </c>
      <c r="AU48" s="81" t="s">
        <v>78</v>
      </c>
      <c r="AV48" s="81" t="s">
        <v>75</v>
      </c>
      <c r="AW48" s="81" t="s">
        <v>76</v>
      </c>
      <c r="AX48" s="81" t="s">
        <v>77</v>
      </c>
      <c r="AY48" s="82" t="s">
        <v>79</v>
      </c>
      <c r="AZ48" s="175"/>
      <c r="BA48" s="175"/>
      <c r="BB48" s="201"/>
      <c r="BC48" s="201"/>
      <c r="BD48" s="201"/>
      <c r="BE48" s="206"/>
      <c r="BF48" s="206"/>
      <c r="BG48" s="206"/>
      <c r="BH48" s="201"/>
      <c r="BI48" s="201"/>
      <c r="BJ48" s="110"/>
      <c r="BK48" s="114"/>
      <c r="BL48" s="24"/>
      <c r="BM48" s="24"/>
      <c r="BN48" s="24"/>
      <c r="BO48" s="24"/>
    </row>
    <row r="49" spans="2:67" ht="14.25" customHeight="1" x14ac:dyDescent="0.25">
      <c r="B49" s="16">
        <v>9</v>
      </c>
      <c r="C49" s="95">
        <v>44888</v>
      </c>
      <c r="D49" s="84" t="s">
        <v>68</v>
      </c>
      <c r="E49" s="85" t="s">
        <v>6</v>
      </c>
      <c r="F49" s="86" t="s">
        <v>161</v>
      </c>
      <c r="G49" s="62">
        <v>1</v>
      </c>
      <c r="H49" s="87" t="s">
        <v>6</v>
      </c>
      <c r="I49" s="62">
        <v>0</v>
      </c>
      <c r="J49" s="64">
        <f>IF(OR(ISBLANK(G49),ISBLANK(I49)),"",IF(G49&gt;I49,1,IF(G49&lt;I49,2,"X")))</f>
        <v>1</v>
      </c>
      <c r="K49" s="63">
        <f>IF(OR(G49="",I49="",'Resultat &amp; tabell'!G49="",'Resultat &amp; tabell'!I49=""),0,IF(G49='Resultat &amp; tabell'!G49,2,0)+IF(I49='Resultat &amp; tabell'!I49,2,0)+IF(J49='Resultat &amp; tabell'!J49,3,0))</f>
        <v>0</v>
      </c>
      <c r="L49" s="12">
        <v>1</v>
      </c>
      <c r="M49" s="13" t="str">
        <f>VLOOKUP(L49,AT49:AY52,2,FALSE)</f>
        <v>Belgien</v>
      </c>
      <c r="N49" s="14">
        <f>VLOOKUP(M49,$AU$49:$AY$52,2,FALSE)</f>
        <v>6</v>
      </c>
      <c r="O49" s="14">
        <f>VLOOKUP(M49,$AU$49:$AY$52,3,FALSE)</f>
        <v>2</v>
      </c>
      <c r="P49" s="14">
        <f>VLOOKUP(M49,$AU$49:$AY$52,4,FALSE)</f>
        <v>1</v>
      </c>
      <c r="Q49" s="15">
        <f>VLOOKUP(M49,$AU$49:$AY$52,5,FALSE)</f>
        <v>1</v>
      </c>
      <c r="Z49" s="88" t="str">
        <f>D49</f>
        <v>Belgien</v>
      </c>
      <c r="AA49" s="89">
        <f t="shared" ref="AA49:AA54" si="94">IF(G49="",0,IF($G49&lt;$I49,0,IF($G49=$I49,1,3)))</f>
        <v>3</v>
      </c>
      <c r="AB49" s="89">
        <f t="shared" ref="AB49:AB54" si="95">G49</f>
        <v>1</v>
      </c>
      <c r="AC49" s="89">
        <f t="shared" ref="AC49:AC54" si="96">I49</f>
        <v>0</v>
      </c>
      <c r="AD49" s="88" t="str">
        <f>F49</f>
        <v>Kanada</v>
      </c>
      <c r="AE49" s="89">
        <f t="shared" ref="AE49:AE54" si="97">IF(I49="",0,IF(I49&lt;G49,0,IF(G49=I49,1,3)))</f>
        <v>0</v>
      </c>
      <c r="AF49" s="73">
        <f t="shared" ref="AF49:AF54" si="98">I49</f>
        <v>0</v>
      </c>
      <c r="AG49" s="73">
        <f t="shared" ref="AG49:AG54" si="99">G49</f>
        <v>1</v>
      </c>
      <c r="AI49" s="72">
        <f>RANK($AJ49,$AJ$49:$AJ$52,1)+COUNTIF($AJ$49:$AJ49,$AJ49)-1</f>
        <v>1</v>
      </c>
      <c r="AJ49" s="72">
        <f>AK49+AL49+AM49</f>
        <v>1</v>
      </c>
      <c r="AK49" s="72">
        <f>SUMPRODUCT(($AO$49:$AO$52=AO49)*($AR$49:$AR$52=AR49)*($AP$49:$AP$52&gt;AP49))</f>
        <v>0</v>
      </c>
      <c r="AL49" s="72">
        <f>SUMPRODUCT(($AO$49:$AO$52=AO49)*($AR$49:$AR$52&gt;AR49))</f>
        <v>0</v>
      </c>
      <c r="AM49" s="72">
        <f>RANK(AO49,$AO$49:$AO$52)</f>
        <v>1</v>
      </c>
      <c r="AN49" s="88" t="s">
        <v>68</v>
      </c>
      <c r="AO49" s="72">
        <f>SUMIF($Z$49:$Z$54,$AN49,$AA$49:$AA$54)+SUMIF($AD$49:$AD$54,$AN49,$AE$49:$AE$54)</f>
        <v>6</v>
      </c>
      <c r="AP49" s="72">
        <f>SUMIF($Z$49:$Z$54,$AN49,$AB$49:$AB$54)+SUMIF($AD$49:$AD$54,$AN49,$AF$49:$AF$54)</f>
        <v>2</v>
      </c>
      <c r="AQ49" s="72">
        <f>SUMIF($Z$49:$Z$54,$AN49,$AC$49:$AC$54)+SUMIF($AD$49:$AD$54,$AN49,$AG$49:$AG$54)</f>
        <v>1</v>
      </c>
      <c r="AR49" s="72">
        <f>AP49-AQ49</f>
        <v>1</v>
      </c>
      <c r="AT49" s="72">
        <v>1</v>
      </c>
      <c r="AU49" s="72" t="str">
        <f>VLOOKUP($AT49,$AI$49:$AR$52,6,FALSE)</f>
        <v>Belgien</v>
      </c>
      <c r="AV49" s="72">
        <f>VLOOKUP($AU49,$AN$49:$AR$52,2,FALSE)</f>
        <v>6</v>
      </c>
      <c r="AW49" s="72">
        <f>VLOOKUP($AU49,$AN$49:$AR$52,3,FALSE)</f>
        <v>2</v>
      </c>
      <c r="AX49" s="72">
        <f>VLOOKUP($AU49,$AN$49:$AR$52,4,FALSE)</f>
        <v>1</v>
      </c>
      <c r="AY49" s="72">
        <f>VLOOKUP($AU49,$AN$49:$AR$52,5,FALSE)</f>
        <v>1</v>
      </c>
      <c r="AZ49" s="177"/>
      <c r="BA49" s="182"/>
      <c r="BB49" s="177"/>
      <c r="BC49" s="181"/>
      <c r="BD49" s="177"/>
      <c r="BE49" s="181"/>
      <c r="BF49" s="181"/>
      <c r="BG49" s="181"/>
      <c r="BH49" s="181"/>
      <c r="BI49" s="178"/>
      <c r="BJ49" s="94"/>
      <c r="BK49" s="74"/>
      <c r="BL49" s="49"/>
      <c r="BM49" s="49"/>
      <c r="BN49" s="49"/>
      <c r="BO49" s="49"/>
    </row>
    <row r="50" spans="2:67" ht="14.25" customHeight="1" x14ac:dyDescent="0.25">
      <c r="B50" s="16">
        <v>12</v>
      </c>
      <c r="C50" s="95">
        <v>44888</v>
      </c>
      <c r="D50" s="84" t="s">
        <v>146</v>
      </c>
      <c r="E50" s="85" t="s">
        <v>6</v>
      </c>
      <c r="F50" s="86" t="s">
        <v>7</v>
      </c>
      <c r="G50" s="62">
        <v>1</v>
      </c>
      <c r="H50" s="87" t="s">
        <v>6</v>
      </c>
      <c r="I50" s="62">
        <v>0</v>
      </c>
      <c r="J50" s="64">
        <f t="shared" ref="J50:J54" si="100">IF(OR(ISBLANK(G50),ISBLANK(I50)),"",IF(G50&gt;I50,1,IF(G50&lt;I50,2,"X")))</f>
        <v>1</v>
      </c>
      <c r="K50" s="63">
        <f>IF(OR(G50="",I50="",'Resultat &amp; tabell'!G50="",'Resultat &amp; tabell'!I50=""),0,IF(G50='Resultat &amp; tabell'!G50,2,0)+IF(I50='Resultat &amp; tabell'!I50,2,0)+IF(J50='Resultat &amp; tabell'!J50,3,0))</f>
        <v>0</v>
      </c>
      <c r="L50" s="2">
        <v>2</v>
      </c>
      <c r="M50" s="17" t="str">
        <f>VLOOKUP(L50,AT49:AY52,2,FALSE)</f>
        <v>Kroatien</v>
      </c>
      <c r="N50" s="18">
        <f>VLOOKUP(M50,$AU$49:$AY$52,2,FALSE)</f>
        <v>6</v>
      </c>
      <c r="O50" s="18">
        <f>VLOOKUP(M50,$AU$49:$AY$52,3,FALSE)</f>
        <v>2</v>
      </c>
      <c r="P50" s="18">
        <f>VLOOKUP(M50,$AU$49:$AY$52,4,FALSE)</f>
        <v>1</v>
      </c>
      <c r="Q50" s="19">
        <f>VLOOKUP(M50,$AU$49:$AY$52,5,FALSE)</f>
        <v>1</v>
      </c>
      <c r="Z50" s="88" t="str">
        <f t="shared" ref="Z50:Z54" si="101">D50</f>
        <v>Marocko</v>
      </c>
      <c r="AA50" s="89">
        <f t="shared" si="94"/>
        <v>3</v>
      </c>
      <c r="AB50" s="89">
        <f t="shared" si="95"/>
        <v>1</v>
      </c>
      <c r="AC50" s="89">
        <f t="shared" si="96"/>
        <v>0</v>
      </c>
      <c r="AD50" s="88" t="str">
        <f t="shared" ref="AD50:AD54" si="102">F50</f>
        <v>Kroatien</v>
      </c>
      <c r="AE50" s="89">
        <f t="shared" si="97"/>
        <v>0</v>
      </c>
      <c r="AF50" s="73">
        <f t="shared" si="98"/>
        <v>0</v>
      </c>
      <c r="AG50" s="73">
        <f t="shared" si="99"/>
        <v>1</v>
      </c>
      <c r="AI50" s="72">
        <f>RANK($AJ50,$AJ$49:$AJ$52,1)+COUNTIF($AJ$49:$AJ50,$AJ50)-1</f>
        <v>3</v>
      </c>
      <c r="AJ50" s="72">
        <f>AK50+AL50+AM50</f>
        <v>3</v>
      </c>
      <c r="AK50" s="72">
        <f t="shared" ref="AK50:AK52" si="103">SUMPRODUCT(($AO$49:$AO$52=AO50)*($AR$49:$AR$52=AR50)*($AP$49:$AP$52&gt;AP50))</f>
        <v>0</v>
      </c>
      <c r="AL50" s="72">
        <f t="shared" ref="AL50:AL52" si="104">SUMPRODUCT(($AO$49:$AO$52=AO50)*($AR$49:$AR$52&gt;AR50))</f>
        <v>0</v>
      </c>
      <c r="AM50" s="72">
        <f t="shared" ref="AM50:AM52" si="105">RANK(AO50,$AO$49:$AO$52)</f>
        <v>3</v>
      </c>
      <c r="AN50" s="88" t="s">
        <v>161</v>
      </c>
      <c r="AO50" s="72">
        <f t="shared" ref="AO50:AO52" si="106">SUMIF($Z$49:$Z$54,$AN50,$AA$49:$AA$54)+SUMIF($AD$49:$AD$54,$AN50,$AE$49:$AE$54)</f>
        <v>3</v>
      </c>
      <c r="AP50" s="72">
        <f t="shared" ref="AP50:AP52" si="107">SUMIF($Z$49:$Z$54,$AN50,$AB$49:$AB$54)+SUMIF($AD$49:$AD$54,$AN50,$AF$49:$AF$54)</f>
        <v>1</v>
      </c>
      <c r="AQ50" s="72">
        <f t="shared" ref="AQ50:AQ52" si="108">SUMIF($Z$49:$Z$54,$AN50,$AC$49:$AC$54)+SUMIF($AD$49:$AD$54,$AN50,$AG$49:$AG$54)</f>
        <v>2</v>
      </c>
      <c r="AR50" s="72">
        <f t="shared" ref="AR50:AR52" si="109">AP50-AQ50</f>
        <v>-1</v>
      </c>
      <c r="AT50" s="72">
        <v>2</v>
      </c>
      <c r="AU50" s="72" t="str">
        <f t="shared" ref="AU50:AU52" si="110">VLOOKUP($AT50,$AI$49:$AR$52,6,FALSE)</f>
        <v>Kroatien</v>
      </c>
      <c r="AV50" s="72">
        <f t="shared" ref="AV50:AV52" si="111">VLOOKUP($AU50,$AN$49:$AR$52,2,FALSE)</f>
        <v>6</v>
      </c>
      <c r="AW50" s="72">
        <f t="shared" ref="AW50:AW52" si="112">VLOOKUP($AU50,$AN$49:$AR$52,3,FALSE)</f>
        <v>2</v>
      </c>
      <c r="AX50" s="72">
        <f t="shared" ref="AX50:AX52" si="113">VLOOKUP($AU50,$AN$49:$AR$52,4,FALSE)</f>
        <v>1</v>
      </c>
      <c r="AY50" s="72">
        <f t="shared" ref="AY50:AY52" si="114">VLOOKUP($AU50,$AN$49:$AR$52,5,FALSE)</f>
        <v>1</v>
      </c>
      <c r="AZ50" s="177"/>
      <c r="BA50" s="182"/>
      <c r="BB50" s="177"/>
      <c r="BC50" s="181"/>
      <c r="BD50" s="177"/>
      <c r="BE50" s="181"/>
      <c r="BF50" s="181"/>
      <c r="BG50" s="181"/>
      <c r="BH50" s="181"/>
      <c r="BI50" s="178"/>
      <c r="BK50" s="74"/>
      <c r="BL50" s="49"/>
      <c r="BM50" s="49"/>
      <c r="BN50" s="49"/>
      <c r="BO50" s="49"/>
    </row>
    <row r="51" spans="2:67" ht="14.25" customHeight="1" x14ac:dyDescent="0.25">
      <c r="B51" s="16">
        <v>26</v>
      </c>
      <c r="C51" s="95">
        <v>44892</v>
      </c>
      <c r="D51" s="84" t="s">
        <v>68</v>
      </c>
      <c r="E51" s="85" t="s">
        <v>6</v>
      </c>
      <c r="F51" s="86" t="s">
        <v>146</v>
      </c>
      <c r="G51" s="62">
        <v>1</v>
      </c>
      <c r="H51" s="87" t="s">
        <v>6</v>
      </c>
      <c r="I51" s="62">
        <v>0</v>
      </c>
      <c r="J51" s="64">
        <f t="shared" si="100"/>
        <v>1</v>
      </c>
      <c r="K51" s="63">
        <f>IF(OR(G51="",I51="",'Resultat &amp; tabell'!G51="",'Resultat &amp; tabell'!I51=""),0,IF(G51='Resultat &amp; tabell'!G51,2,0)+IF(I51='Resultat &amp; tabell'!I51,2,0)+IF(J51='Resultat &amp; tabell'!J51,3,0))</f>
        <v>0</v>
      </c>
      <c r="L51" s="2">
        <v>3</v>
      </c>
      <c r="M51" s="20" t="str">
        <f>VLOOKUP(L51,AT49:AY52,2,FALSE)</f>
        <v>Kanada</v>
      </c>
      <c r="N51" s="32">
        <f>VLOOKUP(M51,$AU$49:$AY$52,2,FALSE)</f>
        <v>3</v>
      </c>
      <c r="O51" s="32">
        <f>VLOOKUP(M51,$AU$49:$AY$52,3,FALSE)</f>
        <v>1</v>
      </c>
      <c r="P51" s="32">
        <f>VLOOKUP(M51,$AU$49:$AY$52,4,FALSE)</f>
        <v>2</v>
      </c>
      <c r="Q51" s="33">
        <f>VLOOKUP(M51,$AU$49:$AY$52,5,FALSE)</f>
        <v>-1</v>
      </c>
      <c r="Z51" s="88" t="str">
        <f t="shared" si="101"/>
        <v>Belgien</v>
      </c>
      <c r="AA51" s="89">
        <f t="shared" si="94"/>
        <v>3</v>
      </c>
      <c r="AB51" s="89">
        <f t="shared" si="95"/>
        <v>1</v>
      </c>
      <c r="AC51" s="89">
        <f t="shared" si="96"/>
        <v>0</v>
      </c>
      <c r="AD51" s="88" t="str">
        <f t="shared" si="102"/>
        <v>Marocko</v>
      </c>
      <c r="AE51" s="89">
        <f t="shared" si="97"/>
        <v>0</v>
      </c>
      <c r="AF51" s="73">
        <f t="shared" si="98"/>
        <v>0</v>
      </c>
      <c r="AG51" s="73">
        <f t="shared" si="99"/>
        <v>1</v>
      </c>
      <c r="AI51" s="72">
        <f>RANK($AJ51,$AJ$49:$AJ$52,1)+COUNTIF($AJ$49:$AJ51,$AJ51)-1</f>
        <v>4</v>
      </c>
      <c r="AJ51" s="72">
        <f>AK51+AL51+AM51</f>
        <v>3</v>
      </c>
      <c r="AK51" s="72">
        <f t="shared" si="103"/>
        <v>0</v>
      </c>
      <c r="AL51" s="72">
        <f t="shared" si="104"/>
        <v>0</v>
      </c>
      <c r="AM51" s="72">
        <f t="shared" si="105"/>
        <v>3</v>
      </c>
      <c r="AN51" s="88" t="s">
        <v>146</v>
      </c>
      <c r="AO51" s="72">
        <f t="shared" si="106"/>
        <v>3</v>
      </c>
      <c r="AP51" s="72">
        <f t="shared" si="107"/>
        <v>1</v>
      </c>
      <c r="AQ51" s="72">
        <f t="shared" si="108"/>
        <v>2</v>
      </c>
      <c r="AR51" s="72">
        <f t="shared" si="109"/>
        <v>-1</v>
      </c>
      <c r="AT51" s="72">
        <v>3</v>
      </c>
      <c r="AU51" s="72" t="str">
        <f t="shared" si="110"/>
        <v>Kanada</v>
      </c>
      <c r="AV51" s="72">
        <f t="shared" si="111"/>
        <v>3</v>
      </c>
      <c r="AW51" s="72">
        <f t="shared" si="112"/>
        <v>1</v>
      </c>
      <c r="AX51" s="72">
        <f t="shared" si="113"/>
        <v>2</v>
      </c>
      <c r="AY51" s="72">
        <f t="shared" si="114"/>
        <v>-1</v>
      </c>
      <c r="AZ51" s="177"/>
      <c r="BA51" s="182"/>
      <c r="BB51" s="177"/>
      <c r="BC51" s="181"/>
      <c r="BD51" s="177"/>
      <c r="BE51" s="181"/>
      <c r="BF51" s="181"/>
      <c r="BG51" s="181"/>
      <c r="BH51" s="181"/>
      <c r="BI51" s="178"/>
      <c r="BK51" s="45"/>
      <c r="BL51" s="49"/>
      <c r="BM51" s="49"/>
      <c r="BN51" s="49"/>
      <c r="BO51" s="49"/>
    </row>
    <row r="52" spans="2:67" ht="14.25" customHeight="1" x14ac:dyDescent="0.25">
      <c r="B52" s="16">
        <v>27</v>
      </c>
      <c r="C52" s="95">
        <v>44892</v>
      </c>
      <c r="D52" s="84" t="s">
        <v>7</v>
      </c>
      <c r="E52" s="85" t="s">
        <v>6</v>
      </c>
      <c r="F52" s="86" t="s">
        <v>161</v>
      </c>
      <c r="G52" s="62">
        <v>1</v>
      </c>
      <c r="H52" s="87" t="s">
        <v>6</v>
      </c>
      <c r="I52" s="62">
        <v>0</v>
      </c>
      <c r="J52" s="64">
        <f t="shared" si="100"/>
        <v>1</v>
      </c>
      <c r="K52" s="63">
        <f>IF(OR(G52="",I52="",'Resultat &amp; tabell'!G52="",'Resultat &amp; tabell'!I52=""),0,IF(G52='Resultat &amp; tabell'!G52,2,0)+IF(I52='Resultat &amp; tabell'!I52,2,0)+IF(J52='Resultat &amp; tabell'!J52,3,0))</f>
        <v>0</v>
      </c>
      <c r="L52" s="2">
        <v>4</v>
      </c>
      <c r="M52" s="21" t="str">
        <f>VLOOKUP(L52,AT49:AY52,2,FALSE)</f>
        <v>Marocko</v>
      </c>
      <c r="N52" s="18">
        <f>VLOOKUP(M52,$AU$49:$AY$52,2,FALSE)</f>
        <v>3</v>
      </c>
      <c r="O52" s="18">
        <f>VLOOKUP(M52,$AU$49:$AY$52,3,FALSE)</f>
        <v>1</v>
      </c>
      <c r="P52" s="18">
        <f>VLOOKUP(M52,$AU$49:$AY$52,4,FALSE)</f>
        <v>2</v>
      </c>
      <c r="Q52" s="19">
        <f>VLOOKUP(M52,$AU$49:$AY$52,5,FALSE)</f>
        <v>-1</v>
      </c>
      <c r="Z52" s="88" t="str">
        <f t="shared" si="101"/>
        <v>Kroatien</v>
      </c>
      <c r="AA52" s="89">
        <f t="shared" si="94"/>
        <v>3</v>
      </c>
      <c r="AB52" s="89">
        <f t="shared" si="95"/>
        <v>1</v>
      </c>
      <c r="AC52" s="89">
        <f t="shared" si="96"/>
        <v>0</v>
      </c>
      <c r="AD52" s="88" t="str">
        <f t="shared" si="102"/>
        <v>Kanada</v>
      </c>
      <c r="AE52" s="89">
        <f t="shared" si="97"/>
        <v>0</v>
      </c>
      <c r="AF52" s="73">
        <f t="shared" si="98"/>
        <v>0</v>
      </c>
      <c r="AG52" s="73">
        <f t="shared" si="99"/>
        <v>1</v>
      </c>
      <c r="AI52" s="72">
        <f>RANK($AJ52,$AJ$49:$AJ$52,1)+COUNTIF($AJ$49:$AJ52,$AJ52)-1</f>
        <v>2</v>
      </c>
      <c r="AJ52" s="72">
        <f>AK52+AL52+AM52</f>
        <v>1</v>
      </c>
      <c r="AK52" s="72">
        <f t="shared" si="103"/>
        <v>0</v>
      </c>
      <c r="AL52" s="72">
        <f t="shared" si="104"/>
        <v>0</v>
      </c>
      <c r="AM52" s="72">
        <f t="shared" si="105"/>
        <v>1</v>
      </c>
      <c r="AN52" s="88" t="s">
        <v>7</v>
      </c>
      <c r="AO52" s="72">
        <f t="shared" si="106"/>
        <v>6</v>
      </c>
      <c r="AP52" s="72">
        <f t="shared" si="107"/>
        <v>2</v>
      </c>
      <c r="AQ52" s="72">
        <f t="shared" si="108"/>
        <v>1</v>
      </c>
      <c r="AR52" s="72">
        <f t="shared" si="109"/>
        <v>1</v>
      </c>
      <c r="AT52" s="72">
        <v>4</v>
      </c>
      <c r="AU52" s="72" t="str">
        <f t="shared" si="110"/>
        <v>Marocko</v>
      </c>
      <c r="AV52" s="72">
        <f t="shared" si="111"/>
        <v>3</v>
      </c>
      <c r="AW52" s="72">
        <f t="shared" si="112"/>
        <v>1</v>
      </c>
      <c r="AX52" s="72">
        <f t="shared" si="113"/>
        <v>2</v>
      </c>
      <c r="AY52" s="72">
        <f t="shared" si="114"/>
        <v>-1</v>
      </c>
      <c r="AZ52" s="177"/>
      <c r="BA52" s="182"/>
      <c r="BB52" s="177"/>
      <c r="BC52" s="181"/>
      <c r="BD52" s="177"/>
      <c r="BE52" s="181"/>
      <c r="BF52" s="181"/>
      <c r="BG52" s="181"/>
      <c r="BH52" s="181"/>
      <c r="BI52" s="178"/>
      <c r="BK52" s="45"/>
      <c r="BL52" s="49"/>
      <c r="BM52" s="49"/>
      <c r="BN52" s="49"/>
      <c r="BO52" s="49"/>
    </row>
    <row r="53" spans="2:67" ht="14.25" customHeight="1" x14ac:dyDescent="0.25">
      <c r="B53" s="16">
        <v>41</v>
      </c>
      <c r="C53" s="95">
        <v>44896</v>
      </c>
      <c r="D53" s="84" t="s">
        <v>7</v>
      </c>
      <c r="E53" s="85" t="s">
        <v>6</v>
      </c>
      <c r="F53" s="86" t="s">
        <v>68</v>
      </c>
      <c r="G53" s="62">
        <v>1</v>
      </c>
      <c r="H53" s="87" t="s">
        <v>6</v>
      </c>
      <c r="I53" s="62">
        <v>0</v>
      </c>
      <c r="J53" s="64">
        <f t="shared" si="100"/>
        <v>1</v>
      </c>
      <c r="K53" s="63">
        <f>IF(OR(G53="",I53="",'Resultat &amp; tabell'!G53="",'Resultat &amp; tabell'!I53=""),0,IF(G53='Resultat &amp; tabell'!G53,2,0)+IF(I53='Resultat &amp; tabell'!I53,2,0)+IF(J53='Resultat &amp; tabell'!J53,3,0))</f>
        <v>0</v>
      </c>
      <c r="M53" s="187">
        <f>COUNTBLANK(G49:G54)+COUNTBLANK(I49:I54)</f>
        <v>0</v>
      </c>
      <c r="N53" s="32"/>
      <c r="O53" s="32"/>
      <c r="P53" s="32"/>
      <c r="Q53" s="32"/>
      <c r="Z53" s="88" t="str">
        <f t="shared" si="101"/>
        <v>Kroatien</v>
      </c>
      <c r="AA53" s="89">
        <f t="shared" si="94"/>
        <v>3</v>
      </c>
      <c r="AB53" s="89">
        <f t="shared" si="95"/>
        <v>1</v>
      </c>
      <c r="AC53" s="89">
        <f t="shared" si="96"/>
        <v>0</v>
      </c>
      <c r="AD53" s="88" t="str">
        <f t="shared" si="102"/>
        <v>Belgien</v>
      </c>
      <c r="AE53" s="89">
        <f t="shared" si="97"/>
        <v>0</v>
      </c>
      <c r="AF53" s="73">
        <f t="shared" si="98"/>
        <v>0</v>
      </c>
      <c r="AG53" s="73">
        <f t="shared" si="99"/>
        <v>1</v>
      </c>
      <c r="AZ53" s="177"/>
      <c r="BA53" s="182"/>
      <c r="BB53" s="177"/>
      <c r="BC53" s="181"/>
      <c r="BD53" s="177"/>
      <c r="BE53" s="181"/>
      <c r="BF53" s="181"/>
      <c r="BG53" s="181"/>
      <c r="BH53" s="181"/>
      <c r="BI53" s="178"/>
      <c r="BL53" s="49"/>
      <c r="BM53" s="49"/>
      <c r="BN53" s="49"/>
      <c r="BO53" s="49"/>
    </row>
    <row r="54" spans="2:67" ht="14.25" customHeight="1" x14ac:dyDescent="0.25">
      <c r="B54" s="16">
        <v>42</v>
      </c>
      <c r="C54" s="95">
        <v>44896</v>
      </c>
      <c r="D54" s="84" t="s">
        <v>161</v>
      </c>
      <c r="E54" s="85" t="s">
        <v>6</v>
      </c>
      <c r="F54" s="86" t="s">
        <v>146</v>
      </c>
      <c r="G54" s="62">
        <v>1</v>
      </c>
      <c r="H54" s="87" t="s">
        <v>6</v>
      </c>
      <c r="I54" s="62">
        <v>0</v>
      </c>
      <c r="J54" s="64">
        <f t="shared" si="100"/>
        <v>1</v>
      </c>
      <c r="K54" s="63">
        <f>IF(OR(G54="",I54="",'Resultat &amp; tabell'!G54="",'Resultat &amp; tabell'!I54=""),0,IF(G54='Resultat &amp; tabell'!G54,2,0)+IF(I54='Resultat &amp; tabell'!I54,2,0)+IF(J54='Resultat &amp; tabell'!J54,3,0))</f>
        <v>0</v>
      </c>
      <c r="M54" s="117"/>
      <c r="N54" s="117"/>
      <c r="O54" s="32"/>
      <c r="P54" s="117"/>
      <c r="Q54" s="32"/>
      <c r="R54" s="117"/>
      <c r="Z54" s="88" t="str">
        <f t="shared" si="101"/>
        <v>Kanada</v>
      </c>
      <c r="AA54" s="89">
        <f t="shared" si="94"/>
        <v>3</v>
      </c>
      <c r="AB54" s="89">
        <f t="shared" si="95"/>
        <v>1</v>
      </c>
      <c r="AC54" s="89">
        <f t="shared" si="96"/>
        <v>0</v>
      </c>
      <c r="AD54" s="88" t="str">
        <f t="shared" si="102"/>
        <v>Marocko</v>
      </c>
      <c r="AE54" s="89">
        <f t="shared" si="97"/>
        <v>0</v>
      </c>
      <c r="AF54" s="73">
        <f t="shared" si="98"/>
        <v>0</v>
      </c>
      <c r="AG54" s="73">
        <f t="shared" si="99"/>
        <v>1</v>
      </c>
      <c r="AZ54" s="177"/>
      <c r="BA54" s="182"/>
      <c r="BB54" s="177"/>
      <c r="BC54" s="181"/>
      <c r="BD54" s="177"/>
      <c r="BE54" s="181"/>
      <c r="BF54" s="181"/>
      <c r="BG54" s="181"/>
      <c r="BH54" s="181"/>
      <c r="BI54" s="178"/>
      <c r="BL54" s="49"/>
      <c r="BM54" s="49"/>
      <c r="BN54" s="49"/>
      <c r="BO54" s="49"/>
    </row>
    <row r="55" spans="2:67" ht="14.25" customHeight="1" x14ac:dyDescent="0.25">
      <c r="C55" s="38"/>
      <c r="J55" s="24"/>
      <c r="K55" s="24"/>
      <c r="N55" s="23"/>
      <c r="O55" s="35"/>
      <c r="P55" s="23"/>
      <c r="Q55" s="23"/>
      <c r="AZ55" s="177"/>
      <c r="BA55" s="182"/>
      <c r="BB55" s="177"/>
      <c r="BC55" s="181"/>
      <c r="BD55" s="177"/>
      <c r="BE55" s="181"/>
      <c r="BF55" s="181"/>
      <c r="BG55" s="181"/>
      <c r="BH55" s="181"/>
      <c r="BI55" s="178"/>
      <c r="BL55" s="49"/>
      <c r="BM55" s="46"/>
      <c r="BN55" s="49"/>
      <c r="BO55" s="49"/>
    </row>
    <row r="56" spans="2:67" s="26" customFormat="1" ht="14.25" customHeight="1" x14ac:dyDescent="0.25">
      <c r="B56" s="6" t="s">
        <v>62</v>
      </c>
      <c r="C56" s="104"/>
      <c r="D56" s="117"/>
      <c r="E56" s="27"/>
      <c r="F56" s="117"/>
      <c r="G56" s="27"/>
      <c r="H56" s="27"/>
      <c r="I56" s="27"/>
      <c r="J56" s="24"/>
      <c r="K56" s="24"/>
      <c r="L56" s="25"/>
      <c r="N56" s="27"/>
      <c r="O56" s="36"/>
      <c r="P56" s="27"/>
      <c r="Q56" s="27"/>
      <c r="S56" s="27"/>
      <c r="T56" s="27"/>
      <c r="U56" s="27"/>
      <c r="V56" s="27"/>
      <c r="W56" s="122"/>
      <c r="Z56" s="70"/>
      <c r="AA56" s="89"/>
      <c r="AB56" s="89"/>
      <c r="AC56" s="89"/>
      <c r="AD56" s="70"/>
      <c r="AE56" s="107"/>
      <c r="AF56" s="108"/>
      <c r="AG56" s="108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75"/>
      <c r="BA56" s="183"/>
      <c r="BB56" s="175"/>
      <c r="BC56" s="201"/>
      <c r="BD56" s="175"/>
      <c r="BE56" s="201"/>
      <c r="BF56" s="201"/>
      <c r="BG56" s="201"/>
      <c r="BH56" s="201"/>
      <c r="BI56" s="201"/>
      <c r="BJ56" s="110"/>
      <c r="BK56" s="1"/>
      <c r="BL56" s="24"/>
      <c r="BM56" s="123"/>
      <c r="BN56" s="24"/>
      <c r="BO56" s="24"/>
    </row>
    <row r="57" spans="2:67" s="26" customFormat="1" ht="14.25" customHeight="1" x14ac:dyDescent="0.25">
      <c r="B57" s="119" t="s">
        <v>2</v>
      </c>
      <c r="C57" s="112" t="s">
        <v>3</v>
      </c>
      <c r="D57" s="207" t="s">
        <v>2</v>
      </c>
      <c r="E57" s="208"/>
      <c r="F57" s="209"/>
      <c r="G57" s="208" t="s">
        <v>4</v>
      </c>
      <c r="H57" s="208"/>
      <c r="I57" s="208"/>
      <c r="J57" s="28" t="s">
        <v>69</v>
      </c>
      <c r="K57" s="7" t="s">
        <v>75</v>
      </c>
      <c r="L57" s="25"/>
      <c r="M57" s="8" t="s">
        <v>62</v>
      </c>
      <c r="N57" s="202" t="s">
        <v>75</v>
      </c>
      <c r="O57" s="202" t="s">
        <v>76</v>
      </c>
      <c r="P57" s="202" t="s">
        <v>77</v>
      </c>
      <c r="Q57" s="10" t="s">
        <v>87</v>
      </c>
      <c r="S57" s="27"/>
      <c r="T57" s="27"/>
      <c r="U57" s="27"/>
      <c r="V57" s="27"/>
      <c r="W57" s="122"/>
      <c r="Z57" s="81" t="s">
        <v>73</v>
      </c>
      <c r="AA57" s="81" t="s">
        <v>75</v>
      </c>
      <c r="AB57" s="81" t="s">
        <v>76</v>
      </c>
      <c r="AC57" s="81" t="s">
        <v>77</v>
      </c>
      <c r="AD57" s="81" t="s">
        <v>74</v>
      </c>
      <c r="AE57" s="81" t="s">
        <v>75</v>
      </c>
      <c r="AF57" s="81" t="s">
        <v>76</v>
      </c>
      <c r="AG57" s="81" t="s">
        <v>77</v>
      </c>
      <c r="AH57" s="107"/>
      <c r="AI57" s="82" t="s">
        <v>85</v>
      </c>
      <c r="AJ57" s="82" t="s">
        <v>84</v>
      </c>
      <c r="AK57" s="82" t="s">
        <v>83</v>
      </c>
      <c r="AL57" s="81" t="s">
        <v>82</v>
      </c>
      <c r="AM57" s="81" t="s">
        <v>81</v>
      </c>
      <c r="AN57" s="81" t="s">
        <v>78</v>
      </c>
      <c r="AO57" s="81" t="s">
        <v>75</v>
      </c>
      <c r="AP57" s="81" t="s">
        <v>76</v>
      </c>
      <c r="AQ57" s="81" t="s">
        <v>77</v>
      </c>
      <c r="AR57" s="82" t="s">
        <v>79</v>
      </c>
      <c r="AS57" s="107"/>
      <c r="AT57" s="81" t="s">
        <v>80</v>
      </c>
      <c r="AU57" s="81" t="s">
        <v>78</v>
      </c>
      <c r="AV57" s="81" t="s">
        <v>75</v>
      </c>
      <c r="AW57" s="81" t="s">
        <v>76</v>
      </c>
      <c r="AX57" s="81" t="s">
        <v>77</v>
      </c>
      <c r="AY57" s="82" t="s">
        <v>79</v>
      </c>
      <c r="AZ57" s="175"/>
      <c r="BA57" s="175"/>
      <c r="BB57" s="201"/>
      <c r="BC57" s="201"/>
      <c r="BD57" s="201"/>
      <c r="BE57" s="206"/>
      <c r="BF57" s="206"/>
      <c r="BG57" s="206"/>
      <c r="BH57" s="201"/>
      <c r="BI57" s="201"/>
      <c r="BJ57" s="110"/>
      <c r="BK57" s="114"/>
      <c r="BL57" s="24"/>
      <c r="BM57" s="24"/>
      <c r="BN57" s="24"/>
      <c r="BO57" s="24"/>
    </row>
    <row r="58" spans="2:67" ht="14.25" customHeight="1" x14ac:dyDescent="0.25">
      <c r="B58" s="16">
        <v>13</v>
      </c>
      <c r="C58" s="95">
        <v>44889</v>
      </c>
      <c r="D58" s="84" t="s">
        <v>56</v>
      </c>
      <c r="E58" s="85" t="s">
        <v>6</v>
      </c>
      <c r="F58" s="86" t="s">
        <v>11</v>
      </c>
      <c r="G58" s="62">
        <v>1</v>
      </c>
      <c r="H58" s="87" t="s">
        <v>6</v>
      </c>
      <c r="I58" s="62">
        <v>0</v>
      </c>
      <c r="J58" s="64">
        <f>IF(OR(ISBLANK(G58),ISBLANK(I58)),"",IF(G58&gt;I58,1,IF(G58&lt;I58,2,"X")))</f>
        <v>1</v>
      </c>
      <c r="K58" s="63">
        <f>IF(OR(G58="",I58="",'Resultat &amp; tabell'!G58="",'Resultat &amp; tabell'!I58=""),0,IF(G58='Resultat &amp; tabell'!G58,2,0)+IF(I58='Resultat &amp; tabell'!I58,2,0)+IF(J58='Resultat &amp; tabell'!J58,3,0))</f>
        <v>0</v>
      </c>
      <c r="L58" s="12">
        <v>1</v>
      </c>
      <c r="M58" s="13" t="str">
        <f>VLOOKUP(L58,AT58:AY61,2,FALSE)</f>
        <v>Brasilien</v>
      </c>
      <c r="N58" s="14">
        <f>VLOOKUP(M58,$AU$58:$AY$61,2,FALSE)</f>
        <v>6</v>
      </c>
      <c r="O58" s="14">
        <f>VLOOKUP(M58,$AU$58:$AY$61,3,FALSE)</f>
        <v>2</v>
      </c>
      <c r="P58" s="14">
        <f>VLOOKUP(M58,$AU$58:$AY$61,4,FALSE)</f>
        <v>1</v>
      </c>
      <c r="Q58" s="15">
        <f>VLOOKUP(M58,$AU$58:$AY$61,5,FALSE)</f>
        <v>1</v>
      </c>
      <c r="Z58" s="88" t="str">
        <f>D58</f>
        <v>Schweiz</v>
      </c>
      <c r="AA58" s="89">
        <f t="shared" ref="AA58:AA63" si="115">IF(G58="",0,IF($G58&lt;$I58,0,IF($G58=$I58,1,3)))</f>
        <v>3</v>
      </c>
      <c r="AB58" s="89">
        <f t="shared" ref="AB58:AB63" si="116">G58</f>
        <v>1</v>
      </c>
      <c r="AC58" s="89">
        <f t="shared" ref="AC58:AC63" si="117">I58</f>
        <v>0</v>
      </c>
      <c r="AD58" s="88" t="str">
        <f>F58</f>
        <v>Kamerun</v>
      </c>
      <c r="AE58" s="89">
        <f t="shared" ref="AE58:AE63" si="118">IF(I58="",0,IF(I58&lt;G58,0,IF(G58=I58,1,3)))</f>
        <v>0</v>
      </c>
      <c r="AF58" s="73">
        <f t="shared" ref="AF58:AF63" si="119">I58</f>
        <v>0</v>
      </c>
      <c r="AG58" s="73">
        <f t="shared" ref="AG58:AG63" si="120">G58</f>
        <v>1</v>
      </c>
      <c r="AI58" s="72">
        <f>RANK($AJ58,$AJ$58:$AJ$61,1)+COUNTIF($AJ$58:$AJ58,$AJ58)-1</f>
        <v>1</v>
      </c>
      <c r="AJ58" s="72">
        <f>AK58+AL58+AM58</f>
        <v>1</v>
      </c>
      <c r="AK58" s="72">
        <f>SUMPRODUCT(($AO$58:$AO$61=AO58)*($AR$58:$AR$61=AR58)*($AP$58:$AP$61&gt;AP58))</f>
        <v>0</v>
      </c>
      <c r="AL58" s="72">
        <f>SUMPRODUCT(($AO$58:$AO$61=AO58)*($AR$58:$AR$61&gt;AR58))</f>
        <v>0</v>
      </c>
      <c r="AM58" s="72">
        <f>RANK(AO58,$AO$58:$AO$61)</f>
        <v>1</v>
      </c>
      <c r="AN58" s="88" t="s">
        <v>5</v>
      </c>
      <c r="AO58" s="72">
        <f>SUMIF($Z$58:$Z$63,$AN58,$AA$58:$AA$63)+SUMIF($AD$58:$AD$63,$AN58,$AE$58:$AE$63)</f>
        <v>6</v>
      </c>
      <c r="AP58" s="72">
        <f>SUMIF($Z$58:$Z$63,$AN58,$AB$58:$AB$63)+SUMIF($AD$58:$AD$63,$AN58,$AF$58:$AF$63)</f>
        <v>2</v>
      </c>
      <c r="AQ58" s="72">
        <f>SUMIF($Z$58:$Z$63,$AN58,$AC$58:$AC$63)+SUMIF($AD$58:$AD$63,$AN58,$AG$58:$AG$63)</f>
        <v>1</v>
      </c>
      <c r="AR58" s="72">
        <f>AP58-AQ58</f>
        <v>1</v>
      </c>
      <c r="AT58" s="72">
        <v>1</v>
      </c>
      <c r="AU58" s="72" t="str">
        <f>VLOOKUP($AT58,$AI$58:$AR$61,6,FALSE)</f>
        <v>Brasilien</v>
      </c>
      <c r="AV58" s="72">
        <f>VLOOKUP($AU58,$AN$58:$AR$61,2,FALSE)</f>
        <v>6</v>
      </c>
      <c r="AW58" s="72">
        <f>VLOOKUP($AU58,$AN$58:$AR$61,3,FALSE)</f>
        <v>2</v>
      </c>
      <c r="AX58" s="72">
        <f>VLOOKUP($AU58,$AN$58:$AR$61,4,FALSE)</f>
        <v>1</v>
      </c>
      <c r="AY58" s="72">
        <f>VLOOKUP($AU58,$AN$58:$AR$61,5,FALSE)</f>
        <v>1</v>
      </c>
      <c r="AZ58" s="177"/>
      <c r="BA58" s="182"/>
      <c r="BB58" s="177"/>
      <c r="BC58" s="181"/>
      <c r="BD58" s="177"/>
      <c r="BE58" s="181"/>
      <c r="BF58" s="181"/>
      <c r="BG58" s="181"/>
      <c r="BH58" s="181"/>
      <c r="BI58" s="178"/>
      <c r="BJ58" s="94"/>
      <c r="BK58" s="74"/>
      <c r="BL58" s="49"/>
      <c r="BM58" s="49"/>
      <c r="BN58" s="49"/>
      <c r="BO58" s="49"/>
    </row>
    <row r="59" spans="2:67" ht="14.25" customHeight="1" x14ac:dyDescent="0.25">
      <c r="B59" s="16">
        <v>16</v>
      </c>
      <c r="C59" s="95">
        <v>44889</v>
      </c>
      <c r="D59" s="84" t="s">
        <v>5</v>
      </c>
      <c r="E59" s="85" t="s">
        <v>6</v>
      </c>
      <c r="F59" s="86" t="s">
        <v>148</v>
      </c>
      <c r="G59" s="62">
        <v>1</v>
      </c>
      <c r="H59" s="87" t="s">
        <v>6</v>
      </c>
      <c r="I59" s="62">
        <v>0</v>
      </c>
      <c r="J59" s="64">
        <f t="shared" ref="J59:J63" si="121">IF(OR(ISBLANK(G59),ISBLANK(I59)),"",IF(G59&gt;I59,1,IF(G59&lt;I59,2,"X")))</f>
        <v>1</v>
      </c>
      <c r="K59" s="63">
        <f>IF(OR(G59="",I59="",'Resultat &amp; tabell'!G59="",'Resultat &amp; tabell'!I59=""),0,IF(G59='Resultat &amp; tabell'!G59,2,0)+IF(I59='Resultat &amp; tabell'!I59,2,0)+IF(J59='Resultat &amp; tabell'!J59,3,0))</f>
        <v>0</v>
      </c>
      <c r="L59" s="2">
        <v>2</v>
      </c>
      <c r="M59" s="17" t="str">
        <f>VLOOKUP(L59,AT58:AY61,2,FALSE)</f>
        <v>Kamerun</v>
      </c>
      <c r="N59" s="18">
        <f>VLOOKUP(M59,$AU$58:$AY$61,2,FALSE)</f>
        <v>6</v>
      </c>
      <c r="O59" s="18">
        <f>VLOOKUP(M59,$AU$58:$AY$61,3,FALSE)</f>
        <v>2</v>
      </c>
      <c r="P59" s="18">
        <f>VLOOKUP(M59,$AU$58:$AY$61,4,FALSE)</f>
        <v>1</v>
      </c>
      <c r="Q59" s="19">
        <f>VLOOKUP(M59,$AU$58:$AY$61,5,FALSE)</f>
        <v>1</v>
      </c>
      <c r="Z59" s="88" t="str">
        <f t="shared" ref="Z59:Z63" si="122">D59</f>
        <v>Brasilien</v>
      </c>
      <c r="AA59" s="89">
        <f t="shared" si="115"/>
        <v>3</v>
      </c>
      <c r="AB59" s="89">
        <f t="shared" si="116"/>
        <v>1</v>
      </c>
      <c r="AC59" s="89">
        <f t="shared" si="117"/>
        <v>0</v>
      </c>
      <c r="AD59" s="88" t="str">
        <f t="shared" ref="AD59:AD63" si="123">F59</f>
        <v>Serbien</v>
      </c>
      <c r="AE59" s="89">
        <f t="shared" si="118"/>
        <v>0</v>
      </c>
      <c r="AF59" s="73">
        <f t="shared" si="119"/>
        <v>0</v>
      </c>
      <c r="AG59" s="73">
        <f t="shared" si="120"/>
        <v>1</v>
      </c>
      <c r="AI59" s="72">
        <f>RANK($AJ59,$AJ$58:$AJ$61,1)+COUNTIF($AJ$58:$AJ59,$AJ59)-1</f>
        <v>3</v>
      </c>
      <c r="AJ59" s="72">
        <f>AK59+AL59+AM59</f>
        <v>3</v>
      </c>
      <c r="AK59" s="72">
        <f t="shared" ref="AK59:AK61" si="124">SUMPRODUCT(($AO$58:$AO$61=AO59)*($AR$58:$AR$61=AR59)*($AP$58:$AP$61&gt;AP59))</f>
        <v>0</v>
      </c>
      <c r="AL59" s="72">
        <f t="shared" ref="AL59:AL61" si="125">SUMPRODUCT(($AO$58:$AO$61=AO59)*($AR$58:$AR$61&gt;AR59))</f>
        <v>0</v>
      </c>
      <c r="AM59" s="72">
        <f t="shared" ref="AM59:AM61" si="126">RANK(AO59,$AO$58:$AO$61)</f>
        <v>3</v>
      </c>
      <c r="AN59" s="88" t="s">
        <v>148</v>
      </c>
      <c r="AO59" s="72">
        <f t="shared" ref="AO59:AO61" si="127">SUMIF($Z$58:$Z$63,$AN59,$AA$58:$AA$63)+SUMIF($AD$58:$AD$63,$AN59,$AE$58:$AE$63)</f>
        <v>3</v>
      </c>
      <c r="AP59" s="72">
        <f t="shared" ref="AP59:AP61" si="128">SUMIF($Z$58:$Z$63,$AN59,$AB$58:$AB$63)+SUMIF($AD$58:$AD$63,$AN59,$AF$58:$AF$63)</f>
        <v>1</v>
      </c>
      <c r="AQ59" s="72">
        <f t="shared" ref="AQ59:AQ61" si="129">SUMIF($Z$58:$Z$63,$AN59,$AC$58:$AC$63)+SUMIF($AD$58:$AD$63,$AN59,$AG$58:$AG$63)</f>
        <v>2</v>
      </c>
      <c r="AR59" s="72">
        <f t="shared" ref="AR59:AR61" si="130">AP59-AQ59</f>
        <v>-1</v>
      </c>
      <c r="AT59" s="72">
        <v>2</v>
      </c>
      <c r="AU59" s="72" t="str">
        <f t="shared" ref="AU59:AU61" si="131">VLOOKUP($AT59,$AI$58:$AR$61,6,FALSE)</f>
        <v>Kamerun</v>
      </c>
      <c r="AV59" s="72">
        <f t="shared" ref="AV59:AV61" si="132">VLOOKUP($AU59,$AN$58:$AR$61,2,FALSE)</f>
        <v>6</v>
      </c>
      <c r="AW59" s="72">
        <f t="shared" ref="AW59:AW61" si="133">VLOOKUP($AU59,$AN$58:$AR$61,3,FALSE)</f>
        <v>2</v>
      </c>
      <c r="AX59" s="72">
        <f t="shared" ref="AX59:AX61" si="134">VLOOKUP($AU59,$AN$58:$AR$61,4,FALSE)</f>
        <v>1</v>
      </c>
      <c r="AY59" s="72">
        <f t="shared" ref="AY59:AY61" si="135">VLOOKUP($AU59,$AN$58:$AR$61,5,FALSE)</f>
        <v>1</v>
      </c>
      <c r="AZ59" s="177"/>
      <c r="BA59" s="182"/>
      <c r="BB59" s="177"/>
      <c r="BC59" s="181"/>
      <c r="BD59" s="177"/>
      <c r="BE59" s="181"/>
      <c r="BF59" s="181"/>
      <c r="BG59" s="181"/>
      <c r="BH59" s="181"/>
      <c r="BI59" s="178"/>
      <c r="BK59" s="74"/>
      <c r="BL59" s="49"/>
      <c r="BM59" s="49"/>
      <c r="BN59" s="49"/>
      <c r="BO59" s="49"/>
    </row>
    <row r="60" spans="2:67" ht="14.25" customHeight="1" x14ac:dyDescent="0.25">
      <c r="B60" s="16">
        <v>29</v>
      </c>
      <c r="C60" s="95">
        <v>44893</v>
      </c>
      <c r="D60" s="84" t="s">
        <v>11</v>
      </c>
      <c r="E60" s="85" t="s">
        <v>6</v>
      </c>
      <c r="F60" s="86" t="s">
        <v>148</v>
      </c>
      <c r="G60" s="62">
        <v>1</v>
      </c>
      <c r="H60" s="87" t="s">
        <v>6</v>
      </c>
      <c r="I60" s="62">
        <v>0</v>
      </c>
      <c r="J60" s="64">
        <f t="shared" si="121"/>
        <v>1</v>
      </c>
      <c r="K60" s="63">
        <f>IF(OR(G60="",I60="",'Resultat &amp; tabell'!G60="",'Resultat &amp; tabell'!I60=""),0,IF(G60='Resultat &amp; tabell'!G60,2,0)+IF(I60='Resultat &amp; tabell'!I60,2,0)+IF(J60='Resultat &amp; tabell'!J60,3,0))</f>
        <v>0</v>
      </c>
      <c r="L60" s="2">
        <v>3</v>
      </c>
      <c r="M60" s="20" t="str">
        <f>VLOOKUP(L60,AT58:AY61,2,FALSE)</f>
        <v>Serbien</v>
      </c>
      <c r="N60" s="32">
        <f>VLOOKUP(M60,$AU$58:$AY$61,2,FALSE)</f>
        <v>3</v>
      </c>
      <c r="O60" s="32">
        <f>VLOOKUP(M60,$AU$58:$AY$61,3,FALSE)</f>
        <v>1</v>
      </c>
      <c r="P60" s="32">
        <f>VLOOKUP(M60,$AU$58:$AY$61,4,FALSE)</f>
        <v>2</v>
      </c>
      <c r="Q60" s="33">
        <f>VLOOKUP(M60,$AU$58:$AY$61,5,FALSE)</f>
        <v>-1</v>
      </c>
      <c r="Z60" s="88" t="str">
        <f t="shared" si="122"/>
        <v>Kamerun</v>
      </c>
      <c r="AA60" s="89">
        <f t="shared" si="115"/>
        <v>3</v>
      </c>
      <c r="AB60" s="89">
        <f t="shared" si="116"/>
        <v>1</v>
      </c>
      <c r="AC60" s="89">
        <f t="shared" si="117"/>
        <v>0</v>
      </c>
      <c r="AD60" s="88" t="str">
        <f t="shared" si="123"/>
        <v>Serbien</v>
      </c>
      <c r="AE60" s="89">
        <f t="shared" si="118"/>
        <v>0</v>
      </c>
      <c r="AF60" s="73">
        <f t="shared" si="119"/>
        <v>0</v>
      </c>
      <c r="AG60" s="73">
        <f t="shared" si="120"/>
        <v>1</v>
      </c>
      <c r="AI60" s="72">
        <f>RANK($AJ60,$AJ$58:$AJ$61,1)+COUNTIF($AJ$58:$AJ60,$AJ60)-1</f>
        <v>4</v>
      </c>
      <c r="AJ60" s="72">
        <f>AK60+AL60+AM60</f>
        <v>3</v>
      </c>
      <c r="AK60" s="72">
        <f t="shared" si="124"/>
        <v>0</v>
      </c>
      <c r="AL60" s="72">
        <f t="shared" si="125"/>
        <v>0</v>
      </c>
      <c r="AM60" s="72">
        <f t="shared" si="126"/>
        <v>3</v>
      </c>
      <c r="AN60" s="88" t="s">
        <v>56</v>
      </c>
      <c r="AO60" s="72">
        <f t="shared" si="127"/>
        <v>3</v>
      </c>
      <c r="AP60" s="72">
        <f t="shared" si="128"/>
        <v>1</v>
      </c>
      <c r="AQ60" s="72">
        <f t="shared" si="129"/>
        <v>2</v>
      </c>
      <c r="AR60" s="72">
        <f t="shared" si="130"/>
        <v>-1</v>
      </c>
      <c r="AT60" s="72">
        <v>3</v>
      </c>
      <c r="AU60" s="72" t="str">
        <f t="shared" si="131"/>
        <v>Serbien</v>
      </c>
      <c r="AV60" s="72">
        <f t="shared" si="132"/>
        <v>3</v>
      </c>
      <c r="AW60" s="72">
        <f t="shared" si="133"/>
        <v>1</v>
      </c>
      <c r="AX60" s="72">
        <f t="shared" si="134"/>
        <v>2</v>
      </c>
      <c r="AY60" s="72">
        <f t="shared" si="135"/>
        <v>-1</v>
      </c>
      <c r="AZ60" s="177"/>
      <c r="BA60" s="182"/>
      <c r="BB60" s="177"/>
      <c r="BC60" s="181"/>
      <c r="BD60" s="177"/>
      <c r="BE60" s="181"/>
      <c r="BF60" s="181"/>
      <c r="BG60" s="181"/>
      <c r="BH60" s="181"/>
      <c r="BI60" s="178"/>
      <c r="BK60" s="45"/>
      <c r="BL60" s="49"/>
      <c r="BM60" s="49"/>
      <c r="BN60" s="49"/>
      <c r="BO60" s="49"/>
    </row>
    <row r="61" spans="2:67" ht="14.25" customHeight="1" x14ac:dyDescent="0.25">
      <c r="B61" s="16">
        <v>31</v>
      </c>
      <c r="C61" s="95">
        <v>44893</v>
      </c>
      <c r="D61" s="84" t="s">
        <v>5</v>
      </c>
      <c r="E61" s="85" t="s">
        <v>6</v>
      </c>
      <c r="F61" s="86" t="s">
        <v>56</v>
      </c>
      <c r="G61" s="62">
        <v>1</v>
      </c>
      <c r="H61" s="87" t="s">
        <v>6</v>
      </c>
      <c r="I61" s="62">
        <v>0</v>
      </c>
      <c r="J61" s="64">
        <f t="shared" si="121"/>
        <v>1</v>
      </c>
      <c r="K61" s="63">
        <f>IF(OR(G61="",I61="",'Resultat &amp; tabell'!G61="",'Resultat &amp; tabell'!I61=""),0,IF(G61='Resultat &amp; tabell'!G61,2,0)+IF(I61='Resultat &amp; tabell'!I61,2,0)+IF(J61='Resultat &amp; tabell'!J61,3,0))</f>
        <v>0</v>
      </c>
      <c r="L61" s="2">
        <v>4</v>
      </c>
      <c r="M61" s="21" t="str">
        <f>VLOOKUP(L61,AT58:AY61,2,FALSE)</f>
        <v>Schweiz</v>
      </c>
      <c r="N61" s="18">
        <f>VLOOKUP(M61,$AU$58:$AY$61,2,FALSE)</f>
        <v>3</v>
      </c>
      <c r="O61" s="18">
        <f>VLOOKUP(M61,$AU$58:$AY$61,3,FALSE)</f>
        <v>1</v>
      </c>
      <c r="P61" s="18">
        <f>VLOOKUP(M61,$AU$58:$AY$61,4,FALSE)</f>
        <v>2</v>
      </c>
      <c r="Q61" s="19">
        <f>VLOOKUP(M61,$AU$58:$AY$61,5,FALSE)</f>
        <v>-1</v>
      </c>
      <c r="Z61" s="88" t="str">
        <f t="shared" si="122"/>
        <v>Brasilien</v>
      </c>
      <c r="AA61" s="89">
        <f t="shared" si="115"/>
        <v>3</v>
      </c>
      <c r="AB61" s="89">
        <f t="shared" si="116"/>
        <v>1</v>
      </c>
      <c r="AC61" s="89">
        <f t="shared" si="117"/>
        <v>0</v>
      </c>
      <c r="AD61" s="88" t="str">
        <f t="shared" si="123"/>
        <v>Schweiz</v>
      </c>
      <c r="AE61" s="89">
        <f t="shared" si="118"/>
        <v>0</v>
      </c>
      <c r="AF61" s="73">
        <f t="shared" si="119"/>
        <v>0</v>
      </c>
      <c r="AG61" s="73">
        <f t="shared" si="120"/>
        <v>1</v>
      </c>
      <c r="AI61" s="72">
        <f>RANK($AJ61,$AJ$58:$AJ$61,1)+COUNTIF($AJ$58:$AJ61,$AJ61)-1</f>
        <v>2</v>
      </c>
      <c r="AJ61" s="72">
        <f>AK61+AL61+AM61</f>
        <v>1</v>
      </c>
      <c r="AK61" s="72">
        <f t="shared" si="124"/>
        <v>0</v>
      </c>
      <c r="AL61" s="72">
        <f t="shared" si="125"/>
        <v>0</v>
      </c>
      <c r="AM61" s="72">
        <f t="shared" si="126"/>
        <v>1</v>
      </c>
      <c r="AN61" s="88" t="s">
        <v>11</v>
      </c>
      <c r="AO61" s="72">
        <f t="shared" si="127"/>
        <v>6</v>
      </c>
      <c r="AP61" s="72">
        <f t="shared" si="128"/>
        <v>2</v>
      </c>
      <c r="AQ61" s="72">
        <f t="shared" si="129"/>
        <v>1</v>
      </c>
      <c r="AR61" s="72">
        <f t="shared" si="130"/>
        <v>1</v>
      </c>
      <c r="AT61" s="72">
        <v>4</v>
      </c>
      <c r="AU61" s="72" t="str">
        <f t="shared" si="131"/>
        <v>Schweiz</v>
      </c>
      <c r="AV61" s="72">
        <f t="shared" si="132"/>
        <v>3</v>
      </c>
      <c r="AW61" s="72">
        <f t="shared" si="133"/>
        <v>1</v>
      </c>
      <c r="AX61" s="72">
        <f t="shared" si="134"/>
        <v>2</v>
      </c>
      <c r="AY61" s="72">
        <f t="shared" si="135"/>
        <v>-1</v>
      </c>
      <c r="AZ61" s="177"/>
      <c r="BA61" s="182"/>
      <c r="BB61" s="177"/>
      <c r="BC61" s="181"/>
      <c r="BD61" s="177"/>
      <c r="BE61" s="181"/>
      <c r="BF61" s="181"/>
      <c r="BG61" s="181"/>
      <c r="BH61" s="181"/>
      <c r="BI61" s="178"/>
      <c r="BK61" s="45"/>
      <c r="BL61" s="49"/>
      <c r="BM61" s="49"/>
      <c r="BN61" s="49"/>
      <c r="BO61" s="49"/>
    </row>
    <row r="62" spans="2:67" ht="14.25" customHeight="1" x14ac:dyDescent="0.25">
      <c r="B62" s="16">
        <v>47</v>
      </c>
      <c r="C62" s="95">
        <v>44897</v>
      </c>
      <c r="D62" s="84" t="s">
        <v>148</v>
      </c>
      <c r="E62" s="85" t="s">
        <v>6</v>
      </c>
      <c r="F62" s="86" t="s">
        <v>56</v>
      </c>
      <c r="G62" s="62">
        <v>1</v>
      </c>
      <c r="H62" s="87" t="s">
        <v>6</v>
      </c>
      <c r="I62" s="62">
        <v>0</v>
      </c>
      <c r="J62" s="64">
        <f t="shared" si="121"/>
        <v>1</v>
      </c>
      <c r="K62" s="63">
        <f>IF(OR(G62="",I62="",'Resultat &amp; tabell'!G62="",'Resultat &amp; tabell'!I62=""),0,IF(G62='Resultat &amp; tabell'!G62,2,0)+IF(I62='Resultat &amp; tabell'!I62,2,0)+IF(J62='Resultat &amp; tabell'!J62,3,0))</f>
        <v>0</v>
      </c>
      <c r="M62" s="187">
        <f>COUNTBLANK(G58:G63)+COUNTBLANK(I58:I63)</f>
        <v>0</v>
      </c>
      <c r="N62" s="117"/>
      <c r="O62" s="35"/>
      <c r="P62" s="117"/>
      <c r="Q62" s="23"/>
      <c r="R62" s="117"/>
      <c r="Z62" s="88" t="str">
        <f t="shared" si="122"/>
        <v>Serbien</v>
      </c>
      <c r="AA62" s="89">
        <f t="shared" si="115"/>
        <v>3</v>
      </c>
      <c r="AB62" s="89">
        <f t="shared" si="116"/>
        <v>1</v>
      </c>
      <c r="AC62" s="89">
        <f t="shared" si="117"/>
        <v>0</v>
      </c>
      <c r="AD62" s="88" t="str">
        <f t="shared" si="123"/>
        <v>Schweiz</v>
      </c>
      <c r="AE62" s="89">
        <f t="shared" si="118"/>
        <v>0</v>
      </c>
      <c r="AF62" s="73">
        <f t="shared" si="119"/>
        <v>0</v>
      </c>
      <c r="AG62" s="73">
        <f t="shared" si="120"/>
        <v>1</v>
      </c>
      <c r="AZ62" s="177"/>
      <c r="BA62" s="182"/>
      <c r="BB62" s="177"/>
      <c r="BC62" s="181"/>
      <c r="BD62" s="177"/>
      <c r="BE62" s="181"/>
      <c r="BF62" s="181"/>
      <c r="BG62" s="181"/>
      <c r="BH62" s="181"/>
      <c r="BI62" s="178"/>
      <c r="BL62" s="49"/>
      <c r="BM62" s="46"/>
      <c r="BN62" s="49"/>
      <c r="BO62" s="49"/>
    </row>
    <row r="63" spans="2:67" ht="14.25" customHeight="1" x14ac:dyDescent="0.25">
      <c r="B63" s="16">
        <v>48</v>
      </c>
      <c r="C63" s="95">
        <v>44897</v>
      </c>
      <c r="D63" s="84" t="s">
        <v>11</v>
      </c>
      <c r="E63" s="85" t="s">
        <v>6</v>
      </c>
      <c r="F63" s="86" t="s">
        <v>5</v>
      </c>
      <c r="G63" s="62">
        <v>1</v>
      </c>
      <c r="H63" s="87" t="s">
        <v>6</v>
      </c>
      <c r="I63" s="62">
        <v>0</v>
      </c>
      <c r="J63" s="64">
        <f t="shared" si="121"/>
        <v>1</v>
      </c>
      <c r="K63" s="63">
        <f>IF(OR(G63="",I63="",'Resultat &amp; tabell'!G63="",'Resultat &amp; tabell'!I63=""),0,IF(G63='Resultat &amp; tabell'!G63,2,0)+IF(I63='Resultat &amp; tabell'!I63,2,0)+IF(J63='Resultat &amp; tabell'!J63,3,0))</f>
        <v>0</v>
      </c>
      <c r="N63" s="23"/>
      <c r="O63" s="35"/>
      <c r="P63" s="23"/>
      <c r="Q63" s="23"/>
      <c r="Z63" s="88" t="str">
        <f t="shared" si="122"/>
        <v>Kamerun</v>
      </c>
      <c r="AA63" s="89">
        <f t="shared" si="115"/>
        <v>3</v>
      </c>
      <c r="AB63" s="89">
        <f t="shared" si="116"/>
        <v>1</v>
      </c>
      <c r="AC63" s="89">
        <f t="shared" si="117"/>
        <v>0</v>
      </c>
      <c r="AD63" s="88" t="str">
        <f t="shared" si="123"/>
        <v>Brasilien</v>
      </c>
      <c r="AE63" s="89">
        <f t="shared" si="118"/>
        <v>0</v>
      </c>
      <c r="AF63" s="73">
        <f t="shared" si="119"/>
        <v>0</v>
      </c>
      <c r="AG63" s="73">
        <f t="shared" si="120"/>
        <v>1</v>
      </c>
      <c r="AZ63" s="177"/>
      <c r="BA63" s="182"/>
      <c r="BB63" s="177"/>
      <c r="BC63" s="181"/>
      <c r="BD63" s="177"/>
      <c r="BE63" s="181"/>
      <c r="BF63" s="181"/>
      <c r="BG63" s="181"/>
      <c r="BH63" s="181"/>
      <c r="BI63" s="178"/>
      <c r="BL63" s="49"/>
      <c r="BM63" s="46"/>
      <c r="BN63" s="49"/>
      <c r="BO63" s="49"/>
    </row>
    <row r="64" spans="2:67" ht="14.25" customHeight="1" x14ac:dyDescent="0.25">
      <c r="C64" s="38"/>
      <c r="F64" s="117"/>
      <c r="J64" s="24"/>
      <c r="K64" s="24"/>
      <c r="N64" s="23"/>
      <c r="O64" s="35"/>
      <c r="P64" s="23"/>
      <c r="Q64" s="23"/>
      <c r="AZ64" s="177"/>
      <c r="BA64" s="182"/>
      <c r="BB64" s="177"/>
      <c r="BC64" s="181"/>
      <c r="BD64" s="177"/>
      <c r="BE64" s="181"/>
      <c r="BF64" s="181"/>
      <c r="BG64" s="181"/>
      <c r="BH64" s="181"/>
      <c r="BI64" s="178"/>
      <c r="BL64" s="49"/>
      <c r="BM64" s="46"/>
      <c r="BN64" s="49"/>
      <c r="BO64" s="49"/>
    </row>
    <row r="65" spans="2:68" s="26" customFormat="1" ht="14.25" customHeight="1" x14ac:dyDescent="0.25">
      <c r="B65" s="6" t="s">
        <v>67</v>
      </c>
      <c r="C65" s="104"/>
      <c r="D65" s="68"/>
      <c r="E65" s="27"/>
      <c r="F65" s="68"/>
      <c r="G65" s="27"/>
      <c r="H65" s="27"/>
      <c r="I65" s="27"/>
      <c r="J65" s="24"/>
      <c r="K65" s="24"/>
      <c r="L65" s="25"/>
      <c r="N65" s="27"/>
      <c r="O65" s="36"/>
      <c r="P65" s="27"/>
      <c r="Q65" s="27"/>
      <c r="S65" s="27"/>
      <c r="T65" s="27"/>
      <c r="U65" s="27"/>
      <c r="V65" s="27"/>
      <c r="W65" s="122"/>
      <c r="Z65" s="70"/>
      <c r="AA65" s="89"/>
      <c r="AB65" s="89"/>
      <c r="AC65" s="89"/>
      <c r="AD65" s="70"/>
      <c r="AE65" s="107"/>
      <c r="AF65" s="108"/>
      <c r="AG65" s="108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75"/>
      <c r="BA65" s="183"/>
      <c r="BB65" s="175"/>
      <c r="BC65" s="201"/>
      <c r="BD65" s="175"/>
      <c r="BE65" s="201"/>
      <c r="BF65" s="201"/>
      <c r="BG65" s="201"/>
      <c r="BH65" s="201"/>
      <c r="BI65" s="201"/>
      <c r="BJ65" s="110"/>
      <c r="BK65" s="1"/>
      <c r="BL65" s="24"/>
      <c r="BM65" s="123"/>
      <c r="BN65" s="24"/>
      <c r="BO65" s="24"/>
    </row>
    <row r="66" spans="2:68" s="26" customFormat="1" ht="14.25" customHeight="1" x14ac:dyDescent="0.25">
      <c r="B66" s="119" t="s">
        <v>2</v>
      </c>
      <c r="C66" s="112" t="s">
        <v>3</v>
      </c>
      <c r="D66" s="207" t="s">
        <v>2</v>
      </c>
      <c r="E66" s="208"/>
      <c r="F66" s="209"/>
      <c r="G66" s="208" t="s">
        <v>4</v>
      </c>
      <c r="H66" s="208"/>
      <c r="I66" s="208"/>
      <c r="J66" s="28" t="s">
        <v>69</v>
      </c>
      <c r="K66" s="7" t="s">
        <v>75</v>
      </c>
      <c r="L66" s="25"/>
      <c r="M66" s="8" t="s">
        <v>67</v>
      </c>
      <c r="N66" s="202" t="s">
        <v>75</v>
      </c>
      <c r="O66" s="202" t="s">
        <v>76</v>
      </c>
      <c r="P66" s="202" t="s">
        <v>77</v>
      </c>
      <c r="Q66" s="10" t="s">
        <v>87</v>
      </c>
      <c r="S66" s="27"/>
      <c r="T66" s="27"/>
      <c r="U66" s="27"/>
      <c r="V66" s="27"/>
      <c r="W66" s="122"/>
      <c r="Z66" s="81" t="s">
        <v>73</v>
      </c>
      <c r="AA66" s="81" t="s">
        <v>75</v>
      </c>
      <c r="AB66" s="81" t="s">
        <v>76</v>
      </c>
      <c r="AC66" s="81" t="s">
        <v>77</v>
      </c>
      <c r="AD66" s="81" t="s">
        <v>74</v>
      </c>
      <c r="AE66" s="81" t="s">
        <v>75</v>
      </c>
      <c r="AF66" s="81" t="s">
        <v>76</v>
      </c>
      <c r="AG66" s="81" t="s">
        <v>77</v>
      </c>
      <c r="AH66" s="107"/>
      <c r="AI66" s="82" t="s">
        <v>85</v>
      </c>
      <c r="AJ66" s="82" t="s">
        <v>84</v>
      </c>
      <c r="AK66" s="82" t="s">
        <v>83</v>
      </c>
      <c r="AL66" s="81" t="s">
        <v>82</v>
      </c>
      <c r="AM66" s="81" t="s">
        <v>81</v>
      </c>
      <c r="AN66" s="81" t="s">
        <v>78</v>
      </c>
      <c r="AO66" s="81" t="s">
        <v>75</v>
      </c>
      <c r="AP66" s="81" t="s">
        <v>76</v>
      </c>
      <c r="AQ66" s="81" t="s">
        <v>77</v>
      </c>
      <c r="AR66" s="82" t="s">
        <v>79</v>
      </c>
      <c r="AS66" s="107"/>
      <c r="AT66" s="81" t="s">
        <v>80</v>
      </c>
      <c r="AU66" s="81" t="s">
        <v>78</v>
      </c>
      <c r="AV66" s="81" t="s">
        <v>75</v>
      </c>
      <c r="AW66" s="81" t="s">
        <v>76</v>
      </c>
      <c r="AX66" s="81" t="s">
        <v>77</v>
      </c>
      <c r="AY66" s="82" t="s">
        <v>79</v>
      </c>
      <c r="AZ66" s="175"/>
      <c r="BA66" s="175"/>
      <c r="BB66" s="201"/>
      <c r="BC66" s="201"/>
      <c r="BD66" s="201"/>
      <c r="BE66" s="206"/>
      <c r="BF66" s="206"/>
      <c r="BG66" s="206"/>
      <c r="BH66" s="201"/>
      <c r="BI66" s="201"/>
      <c r="BJ66" s="110"/>
      <c r="BK66" s="114"/>
      <c r="BL66" s="24"/>
      <c r="BM66" s="24"/>
      <c r="BN66" s="24"/>
      <c r="BO66" s="24"/>
    </row>
    <row r="67" spans="2:68" ht="14.25" customHeight="1" x14ac:dyDescent="0.25">
      <c r="B67" s="16">
        <v>14</v>
      </c>
      <c r="C67" s="95">
        <v>44889</v>
      </c>
      <c r="D67" s="84" t="s">
        <v>50</v>
      </c>
      <c r="E67" s="85" t="s">
        <v>6</v>
      </c>
      <c r="F67" s="86" t="s">
        <v>162</v>
      </c>
      <c r="G67" s="62">
        <v>1</v>
      </c>
      <c r="H67" s="87" t="s">
        <v>6</v>
      </c>
      <c r="I67" s="62">
        <v>0</v>
      </c>
      <c r="J67" s="64">
        <f>IF(OR(ISBLANK(G67),ISBLANK(I67)),"",IF(G67&gt;I67,1,IF(G67&lt;I67,2,"X")))</f>
        <v>1</v>
      </c>
      <c r="K67" s="63">
        <f>IF(OR(G67="",I67="",'Resultat &amp; tabell'!G67="",'Resultat &amp; tabell'!I67=""),0,IF(G67='Resultat &amp; tabell'!G67,2,0)+IF(I67='Resultat &amp; tabell'!I67,2,0)+IF(J67='Resultat &amp; tabell'!J67,3,0))</f>
        <v>0</v>
      </c>
      <c r="L67" s="12">
        <v>1</v>
      </c>
      <c r="M67" s="13" t="str">
        <f>VLOOKUP(L67,AT67:AY70,2,FALSE)</f>
        <v>Portugal</v>
      </c>
      <c r="N67" s="14">
        <f>VLOOKUP(M67,$AU$67:$AY$70,2,FALSE)</f>
        <v>6</v>
      </c>
      <c r="O67" s="14">
        <f>VLOOKUP(M67,$AU$67:$AY$70,3,FALSE)</f>
        <v>2</v>
      </c>
      <c r="P67" s="14">
        <f>VLOOKUP(M67,$AU$67:$AY$70,4,FALSE)</f>
        <v>1</v>
      </c>
      <c r="Q67" s="15">
        <f>VLOOKUP(M67,$AU$67:$AY$70,5,FALSE)</f>
        <v>1</v>
      </c>
      <c r="Z67" s="88" t="str">
        <f>D67</f>
        <v>Uruguay</v>
      </c>
      <c r="AA67" s="89">
        <f t="shared" ref="AA67:AA72" si="136">IF(G67="",0,IF($G67&lt;$I67,0,IF($G67=$I67,1,3)))</f>
        <v>3</v>
      </c>
      <c r="AB67" s="89">
        <f t="shared" ref="AB67:AB72" si="137">G67</f>
        <v>1</v>
      </c>
      <c r="AC67" s="89">
        <f t="shared" ref="AC67:AC72" si="138">I67</f>
        <v>0</v>
      </c>
      <c r="AD67" s="88" t="str">
        <f>F67</f>
        <v>Korea</v>
      </c>
      <c r="AE67" s="89">
        <f t="shared" ref="AE67:AE72" si="139">IF(I67="",0,IF(I67&lt;G67,0,IF(G67=I67,1,3)))</f>
        <v>0</v>
      </c>
      <c r="AF67" s="73">
        <f t="shared" ref="AF67:AF72" si="140">I67</f>
        <v>0</v>
      </c>
      <c r="AG67" s="73">
        <f t="shared" ref="AG67:AG72" si="141">G67</f>
        <v>1</v>
      </c>
      <c r="AI67" s="72">
        <f>RANK($AJ67,$AJ$67:$AJ$71,1)+COUNTIF($AJ$67:$AJ67,$AJ67)-1</f>
        <v>1</v>
      </c>
      <c r="AJ67" s="72">
        <f>AK67+AL67+AM67</f>
        <v>1</v>
      </c>
      <c r="AK67" s="72">
        <f>SUMPRODUCT(($AO$67:$AO$70=AO67)*($AR$67:$AR$70=AR67)*($AP$67:$AP$70&gt;AP67))</f>
        <v>0</v>
      </c>
      <c r="AL67" s="72">
        <f>SUMPRODUCT(($AO$67:$AO$70=AO67)*($AR$67:$AR$70&gt;AR67))</f>
        <v>0</v>
      </c>
      <c r="AM67" s="72">
        <f>RANK(AO67,$AO$67:$AO$70)</f>
        <v>1</v>
      </c>
      <c r="AN67" s="88" t="s">
        <v>64</v>
      </c>
      <c r="AO67" s="72">
        <f>SUMIF($Z$67:$Z$72,$AN67,$AA$67:$AA$72)+SUMIF($AD$67:$AD$72,$AN67,$AE$67:$AE$72)</f>
        <v>6</v>
      </c>
      <c r="AP67" s="72">
        <f>SUMIF($Z$67:$Z$72,$AN67,$AB$67:$AB$72)+SUMIF($AD$67:$AD$72,$AN67,$AF$67:$AF$72)</f>
        <v>2</v>
      </c>
      <c r="AQ67" s="72">
        <f>SUMIF($Z$67:$Z$72,$AN67,$AC$67:$AC$72)+SUMIF($AD$67:$AD$72,$AN67,$AG$67:$AG$72)</f>
        <v>1</v>
      </c>
      <c r="AR67" s="72">
        <f>AP67-AQ67</f>
        <v>1</v>
      </c>
      <c r="AT67" s="72">
        <v>1</v>
      </c>
      <c r="AU67" s="72" t="str">
        <f>VLOOKUP($AT67,$AI$67:$AR$70,6,FALSE)</f>
        <v>Portugal</v>
      </c>
      <c r="AV67" s="72">
        <f>VLOOKUP($AU67,$AN$67:$AR$70,2,FALSE)</f>
        <v>6</v>
      </c>
      <c r="AW67" s="72">
        <f>VLOOKUP($AU67,$AN$67:$AR$70,3,FALSE)</f>
        <v>2</v>
      </c>
      <c r="AX67" s="72">
        <f>VLOOKUP($AU67,$AN$67:$AR$70,4,FALSE)</f>
        <v>1</v>
      </c>
      <c r="AY67" s="72">
        <f>VLOOKUP($AU67,$AN$67:$AR$70,5,FALSE)</f>
        <v>1</v>
      </c>
      <c r="AZ67" s="177"/>
      <c r="BA67" s="182"/>
      <c r="BB67" s="177"/>
      <c r="BC67" s="181"/>
      <c r="BD67" s="177"/>
      <c r="BE67" s="181"/>
      <c r="BF67" s="181"/>
      <c r="BG67" s="181"/>
      <c r="BH67" s="181"/>
      <c r="BI67" s="178"/>
      <c r="BJ67" s="94"/>
      <c r="BK67" s="74"/>
      <c r="BL67" s="49"/>
      <c r="BM67" s="49"/>
      <c r="BN67" s="49"/>
      <c r="BO67" s="49"/>
    </row>
    <row r="68" spans="2:68" ht="14.25" customHeight="1" x14ac:dyDescent="0.25">
      <c r="B68" s="16">
        <v>15</v>
      </c>
      <c r="C68" s="95">
        <v>44889</v>
      </c>
      <c r="D68" s="84" t="s">
        <v>64</v>
      </c>
      <c r="E68" s="85" t="s">
        <v>6</v>
      </c>
      <c r="F68" s="86" t="s">
        <v>65</v>
      </c>
      <c r="G68" s="62">
        <v>1</v>
      </c>
      <c r="H68" s="87" t="s">
        <v>6</v>
      </c>
      <c r="I68" s="62">
        <v>0</v>
      </c>
      <c r="J68" s="64">
        <f t="shared" ref="J68:J72" si="142">IF(OR(ISBLANK(G68),ISBLANK(I68)),"",IF(G68&gt;I68,1,IF(G68&lt;I68,2,"X")))</f>
        <v>1</v>
      </c>
      <c r="K68" s="63">
        <f>IF(OR(G68="",I68="",'Resultat &amp; tabell'!G68="",'Resultat &amp; tabell'!I68=""),0,IF(G68='Resultat &amp; tabell'!G68,2,0)+IF(I68='Resultat &amp; tabell'!I68,2,0)+IF(J68='Resultat &amp; tabell'!J68,3,0))</f>
        <v>0</v>
      </c>
      <c r="L68" s="2">
        <v>2</v>
      </c>
      <c r="M68" s="17" t="str">
        <f>VLOOKUP(L68,AT67:AY70,2,FALSE)</f>
        <v>Korea</v>
      </c>
      <c r="N68" s="18">
        <f>VLOOKUP(M68,$AU$67:$AY$70,2,FALSE)</f>
        <v>6</v>
      </c>
      <c r="O68" s="18">
        <f>VLOOKUP(M68,$AU$67:$AY$70,3,FALSE)</f>
        <v>2</v>
      </c>
      <c r="P68" s="18">
        <f>VLOOKUP(M68,$AU$67:$AY$70,4,FALSE)</f>
        <v>1</v>
      </c>
      <c r="Q68" s="19">
        <f>VLOOKUP(M68,$AU$67:$AY$70,5,FALSE)</f>
        <v>1</v>
      </c>
      <c r="Z68" s="88" t="str">
        <f t="shared" ref="Z68:Z72" si="143">D68</f>
        <v>Portugal</v>
      </c>
      <c r="AA68" s="89">
        <f t="shared" si="136"/>
        <v>3</v>
      </c>
      <c r="AB68" s="89">
        <f t="shared" si="137"/>
        <v>1</v>
      </c>
      <c r="AC68" s="89">
        <f t="shared" si="138"/>
        <v>0</v>
      </c>
      <c r="AD68" s="88" t="str">
        <f t="shared" ref="AD68:AD72" si="144">F68</f>
        <v>Ghana</v>
      </c>
      <c r="AE68" s="89">
        <f t="shared" si="139"/>
        <v>0</v>
      </c>
      <c r="AF68" s="73">
        <f t="shared" si="140"/>
        <v>0</v>
      </c>
      <c r="AG68" s="73">
        <f t="shared" si="141"/>
        <v>1</v>
      </c>
      <c r="AI68" s="72">
        <f>RANK($AJ68,$AJ$67:$AJ$71,1)+COUNTIF($AJ$67:$AJ68,$AJ68)-1</f>
        <v>3</v>
      </c>
      <c r="AJ68" s="72">
        <f>AK68+AL68+AM68</f>
        <v>3</v>
      </c>
      <c r="AK68" s="72">
        <f t="shared" ref="AK68:AK70" si="145">SUMPRODUCT(($AO$67:$AO$70=AO68)*($AR$67:$AR$70=AR68)*($AP$67:$AP$70&gt;AP68))</f>
        <v>0</v>
      </c>
      <c r="AL68" s="72">
        <f t="shared" ref="AL68:AL70" si="146">SUMPRODUCT(($AO$67:$AO$70=AO68)*($AR$67:$AR$70&gt;AR68))</f>
        <v>0</v>
      </c>
      <c r="AM68" s="72">
        <f t="shared" ref="AM68:AM70" si="147">RANK(AO68,$AO$67:$AO$70)</f>
        <v>3</v>
      </c>
      <c r="AN68" s="88" t="s">
        <v>65</v>
      </c>
      <c r="AO68" s="72">
        <f t="shared" ref="AO68:AO70" si="148">SUMIF($Z$67:$Z$72,$AN68,$AA$67:$AA$72)+SUMIF($AD$67:$AD$72,$AN68,$AE$67:$AE$72)</f>
        <v>3</v>
      </c>
      <c r="AP68" s="72">
        <f t="shared" ref="AP68:AP70" si="149">SUMIF($Z$67:$Z$72,$AN68,$AB$67:$AB$72)+SUMIF($AD$67:$AD$72,$AN68,$AF$67:$AF$72)</f>
        <v>1</v>
      </c>
      <c r="AQ68" s="72">
        <f t="shared" ref="AQ68:AQ70" si="150">SUMIF($Z$67:$Z$72,$AN68,$AC$67:$AC$72)+SUMIF($AD$67:$AD$72,$AN68,$AG$67:$AG$72)</f>
        <v>2</v>
      </c>
      <c r="AR68" s="72">
        <f t="shared" ref="AR68:AR70" si="151">AP68-AQ68</f>
        <v>-1</v>
      </c>
      <c r="AT68" s="72">
        <v>2</v>
      </c>
      <c r="AU68" s="72" t="str">
        <f t="shared" ref="AU68:AU70" si="152">VLOOKUP($AT68,$AI$67:$AR$70,6,FALSE)</f>
        <v>Korea</v>
      </c>
      <c r="AV68" s="72">
        <f t="shared" ref="AV68:AV70" si="153">VLOOKUP($AU68,$AN$67:$AR$70,2,FALSE)</f>
        <v>6</v>
      </c>
      <c r="AW68" s="72">
        <f t="shared" ref="AW68:AW70" si="154">VLOOKUP($AU68,$AN$67:$AR$70,3,FALSE)</f>
        <v>2</v>
      </c>
      <c r="AX68" s="72">
        <f t="shared" ref="AX68:AX70" si="155">VLOOKUP($AU68,$AN$67:$AR$70,4,FALSE)</f>
        <v>1</v>
      </c>
      <c r="AY68" s="72">
        <f t="shared" ref="AY68:AY70" si="156">VLOOKUP($AU68,$AN$67:$AR$70,5,FALSE)</f>
        <v>1</v>
      </c>
      <c r="AZ68" s="177"/>
      <c r="BA68" s="182"/>
      <c r="BB68" s="177"/>
      <c r="BC68" s="181"/>
      <c r="BD68" s="177"/>
      <c r="BE68" s="181"/>
      <c r="BF68" s="181"/>
      <c r="BG68" s="181"/>
      <c r="BH68" s="181"/>
      <c r="BI68" s="178"/>
      <c r="BK68" s="74"/>
      <c r="BL68" s="49"/>
      <c r="BM68" s="49"/>
      <c r="BN68" s="49"/>
      <c r="BO68" s="49"/>
    </row>
    <row r="69" spans="2:68" ht="14.25" customHeight="1" x14ac:dyDescent="0.25">
      <c r="B69" s="16">
        <v>30</v>
      </c>
      <c r="C69" s="95">
        <v>44893</v>
      </c>
      <c r="D69" s="84" t="s">
        <v>162</v>
      </c>
      <c r="E69" s="85" t="s">
        <v>6</v>
      </c>
      <c r="F69" s="86" t="s">
        <v>65</v>
      </c>
      <c r="G69" s="62">
        <v>1</v>
      </c>
      <c r="H69" s="87" t="s">
        <v>6</v>
      </c>
      <c r="I69" s="62">
        <v>0</v>
      </c>
      <c r="J69" s="64">
        <f t="shared" si="142"/>
        <v>1</v>
      </c>
      <c r="K69" s="63">
        <f>IF(OR(G69="",I69="",'Resultat &amp; tabell'!G69="",'Resultat &amp; tabell'!I69=""),0,IF(G69='Resultat &amp; tabell'!G69,2,0)+IF(I69='Resultat &amp; tabell'!I69,2,0)+IF(J69='Resultat &amp; tabell'!J69,3,0))</f>
        <v>0</v>
      </c>
      <c r="L69" s="2">
        <v>3</v>
      </c>
      <c r="M69" s="20" t="str">
        <f>VLOOKUP(L69,AT67:AY70,2,FALSE)</f>
        <v>Ghana</v>
      </c>
      <c r="N69" s="32">
        <f>VLOOKUP(M69,$AU$67:$AY$70,2,FALSE)</f>
        <v>3</v>
      </c>
      <c r="O69" s="32">
        <f>VLOOKUP(M69,$AU$67:$AY$70,3,FALSE)</f>
        <v>1</v>
      </c>
      <c r="P69" s="32">
        <f>VLOOKUP(M69,$AU$67:$AY$70,4,FALSE)</f>
        <v>2</v>
      </c>
      <c r="Q69" s="33">
        <f>VLOOKUP(M69,$AU$67:$AY$70,5,FALSE)</f>
        <v>-1</v>
      </c>
      <c r="Z69" s="88" t="str">
        <f t="shared" si="143"/>
        <v>Korea</v>
      </c>
      <c r="AA69" s="89">
        <f t="shared" si="136"/>
        <v>3</v>
      </c>
      <c r="AB69" s="89">
        <f t="shared" si="137"/>
        <v>1</v>
      </c>
      <c r="AC69" s="89">
        <f t="shared" si="138"/>
        <v>0</v>
      </c>
      <c r="AD69" s="88" t="str">
        <f t="shared" si="144"/>
        <v>Ghana</v>
      </c>
      <c r="AE69" s="89">
        <f t="shared" si="139"/>
        <v>0</v>
      </c>
      <c r="AF69" s="73">
        <f t="shared" si="140"/>
        <v>0</v>
      </c>
      <c r="AG69" s="73">
        <f t="shared" si="141"/>
        <v>1</v>
      </c>
      <c r="AI69" s="72">
        <f>RANK($AJ69,$AJ$67:$AJ$71,1)+COUNTIF($AJ$67:$AJ69,$AJ69)-1</f>
        <v>4</v>
      </c>
      <c r="AJ69" s="72">
        <f>AK69+AL69+AM69</f>
        <v>3</v>
      </c>
      <c r="AK69" s="72">
        <f t="shared" si="145"/>
        <v>0</v>
      </c>
      <c r="AL69" s="72">
        <f t="shared" si="146"/>
        <v>0</v>
      </c>
      <c r="AM69" s="72">
        <f t="shared" si="147"/>
        <v>3</v>
      </c>
      <c r="AN69" s="88" t="s">
        <v>50</v>
      </c>
      <c r="AO69" s="72">
        <f t="shared" si="148"/>
        <v>3</v>
      </c>
      <c r="AP69" s="72">
        <f t="shared" si="149"/>
        <v>1</v>
      </c>
      <c r="AQ69" s="72">
        <f t="shared" si="150"/>
        <v>2</v>
      </c>
      <c r="AR69" s="72">
        <f t="shared" si="151"/>
        <v>-1</v>
      </c>
      <c r="AT69" s="72">
        <v>3</v>
      </c>
      <c r="AU69" s="72" t="str">
        <f t="shared" si="152"/>
        <v>Ghana</v>
      </c>
      <c r="AV69" s="72">
        <f t="shared" si="153"/>
        <v>3</v>
      </c>
      <c r="AW69" s="72">
        <f t="shared" si="154"/>
        <v>1</v>
      </c>
      <c r="AX69" s="72">
        <f t="shared" si="155"/>
        <v>2</v>
      </c>
      <c r="AY69" s="72">
        <f t="shared" si="156"/>
        <v>-1</v>
      </c>
      <c r="AZ69" s="177"/>
      <c r="BA69" s="182"/>
      <c r="BB69" s="177"/>
      <c r="BC69" s="181"/>
      <c r="BD69" s="177"/>
      <c r="BE69" s="181"/>
      <c r="BF69" s="181"/>
      <c r="BG69" s="181"/>
      <c r="BH69" s="181"/>
      <c r="BI69" s="178"/>
      <c r="BK69" s="45"/>
      <c r="BL69" s="49"/>
      <c r="BM69" s="49"/>
      <c r="BN69" s="49"/>
      <c r="BO69" s="49"/>
    </row>
    <row r="70" spans="2:68" ht="14.25" customHeight="1" x14ac:dyDescent="0.25">
      <c r="B70" s="16">
        <v>32</v>
      </c>
      <c r="C70" s="95">
        <v>44893</v>
      </c>
      <c r="D70" s="84" t="s">
        <v>64</v>
      </c>
      <c r="E70" s="85" t="s">
        <v>6</v>
      </c>
      <c r="F70" s="86" t="s">
        <v>50</v>
      </c>
      <c r="G70" s="62">
        <v>1</v>
      </c>
      <c r="H70" s="87" t="s">
        <v>6</v>
      </c>
      <c r="I70" s="62">
        <v>0</v>
      </c>
      <c r="J70" s="64">
        <f t="shared" si="142"/>
        <v>1</v>
      </c>
      <c r="K70" s="63">
        <f>IF(OR(G70="",I70="",'Resultat &amp; tabell'!G70="",'Resultat &amp; tabell'!I70=""),0,IF(G70='Resultat &amp; tabell'!G70,2,0)+IF(I70='Resultat &amp; tabell'!I70,2,0)+IF(J70='Resultat &amp; tabell'!J70,3,0))</f>
        <v>0</v>
      </c>
      <c r="L70" s="2">
        <v>4</v>
      </c>
      <c r="M70" s="21" t="str">
        <f>VLOOKUP(L70,AT67:AY70,2,FALSE)</f>
        <v>Uruguay</v>
      </c>
      <c r="N70" s="18">
        <f>VLOOKUP(M70,$AU$67:$AY$70,2,FALSE)</f>
        <v>3</v>
      </c>
      <c r="O70" s="18">
        <f>VLOOKUP(M70,$AU$67:$AY$70,3,FALSE)</f>
        <v>1</v>
      </c>
      <c r="P70" s="18">
        <f>VLOOKUP(M70,$AU$67:$AY$70,4,FALSE)</f>
        <v>2</v>
      </c>
      <c r="Q70" s="19">
        <f>VLOOKUP(M70,$AU$67:$AY$70,5,FALSE)</f>
        <v>-1</v>
      </c>
      <c r="Z70" s="88" t="str">
        <f t="shared" si="143"/>
        <v>Portugal</v>
      </c>
      <c r="AA70" s="89">
        <f t="shared" si="136"/>
        <v>3</v>
      </c>
      <c r="AB70" s="89">
        <f t="shared" si="137"/>
        <v>1</v>
      </c>
      <c r="AC70" s="89">
        <f t="shared" si="138"/>
        <v>0</v>
      </c>
      <c r="AD70" s="88" t="str">
        <f t="shared" si="144"/>
        <v>Uruguay</v>
      </c>
      <c r="AE70" s="89">
        <f t="shared" si="139"/>
        <v>0</v>
      </c>
      <c r="AF70" s="73">
        <f t="shared" si="140"/>
        <v>0</v>
      </c>
      <c r="AG70" s="73">
        <f t="shared" si="141"/>
        <v>1</v>
      </c>
      <c r="AI70" s="72">
        <f>RANK($AJ70,$AJ$67:$AJ$71,1)+COUNTIF($AJ$67:$AJ70,$AJ70)-1</f>
        <v>2</v>
      </c>
      <c r="AJ70" s="72">
        <f>AK70+AL70+AM70</f>
        <v>1</v>
      </c>
      <c r="AK70" s="72">
        <f t="shared" si="145"/>
        <v>0</v>
      </c>
      <c r="AL70" s="72">
        <f t="shared" si="146"/>
        <v>0</v>
      </c>
      <c r="AM70" s="72">
        <f t="shared" si="147"/>
        <v>1</v>
      </c>
      <c r="AN70" s="88" t="s">
        <v>162</v>
      </c>
      <c r="AO70" s="72">
        <f t="shared" si="148"/>
        <v>6</v>
      </c>
      <c r="AP70" s="72">
        <f t="shared" si="149"/>
        <v>2</v>
      </c>
      <c r="AQ70" s="72">
        <f t="shared" si="150"/>
        <v>1</v>
      </c>
      <c r="AR70" s="72">
        <f t="shared" si="151"/>
        <v>1</v>
      </c>
      <c r="AT70" s="72">
        <v>4</v>
      </c>
      <c r="AU70" s="72" t="str">
        <f t="shared" si="152"/>
        <v>Uruguay</v>
      </c>
      <c r="AV70" s="72">
        <f t="shared" si="153"/>
        <v>3</v>
      </c>
      <c r="AW70" s="72">
        <f t="shared" si="154"/>
        <v>1</v>
      </c>
      <c r="AX70" s="72">
        <f t="shared" si="155"/>
        <v>2</v>
      </c>
      <c r="AY70" s="72">
        <f t="shared" si="156"/>
        <v>-1</v>
      </c>
      <c r="AZ70" s="177"/>
      <c r="BA70" s="182"/>
      <c r="BB70" s="177"/>
      <c r="BC70" s="181"/>
      <c r="BD70" s="177"/>
      <c r="BE70" s="181"/>
      <c r="BF70" s="181"/>
      <c r="BG70" s="181"/>
      <c r="BH70" s="181"/>
      <c r="BI70" s="178"/>
      <c r="BK70" s="45"/>
      <c r="BL70" s="49"/>
      <c r="BM70" s="49"/>
      <c r="BN70" s="49"/>
      <c r="BO70" s="49"/>
    </row>
    <row r="71" spans="2:68" ht="14.25" customHeight="1" x14ac:dyDescent="0.25">
      <c r="B71" s="16">
        <v>45</v>
      </c>
      <c r="C71" s="95">
        <v>44897</v>
      </c>
      <c r="D71" s="84" t="s">
        <v>65</v>
      </c>
      <c r="E71" s="85" t="s">
        <v>6</v>
      </c>
      <c r="F71" s="86" t="s">
        <v>50</v>
      </c>
      <c r="G71" s="62">
        <v>1</v>
      </c>
      <c r="H71" s="87" t="s">
        <v>6</v>
      </c>
      <c r="I71" s="62">
        <v>0</v>
      </c>
      <c r="J71" s="64">
        <f t="shared" si="142"/>
        <v>1</v>
      </c>
      <c r="K71" s="63">
        <f>IF(OR(G71="",I71="",'Resultat &amp; tabell'!G71="",'Resultat &amp; tabell'!I71=""),0,IF(G71='Resultat &amp; tabell'!G71,2,0)+IF(I71='Resultat &amp; tabell'!I71,2,0)+IF(J71='Resultat &amp; tabell'!J71,3,0))</f>
        <v>0</v>
      </c>
      <c r="M71" s="187">
        <f>COUNTBLANK(G67:G72)+COUNTBLANK(I67:I72)</f>
        <v>0</v>
      </c>
      <c r="N71" s="117"/>
      <c r="P71" s="117"/>
      <c r="R71" s="117"/>
      <c r="Z71" s="88" t="str">
        <f t="shared" si="143"/>
        <v>Ghana</v>
      </c>
      <c r="AA71" s="89">
        <f t="shared" si="136"/>
        <v>3</v>
      </c>
      <c r="AB71" s="89">
        <f t="shared" si="137"/>
        <v>1</v>
      </c>
      <c r="AC71" s="89">
        <f t="shared" si="138"/>
        <v>0</v>
      </c>
      <c r="AD71" s="88" t="str">
        <f t="shared" si="144"/>
        <v>Uruguay</v>
      </c>
      <c r="AE71" s="89">
        <f t="shared" si="139"/>
        <v>0</v>
      </c>
      <c r="AF71" s="73">
        <f t="shared" si="140"/>
        <v>0</v>
      </c>
      <c r="AG71" s="73">
        <f t="shared" si="141"/>
        <v>1</v>
      </c>
      <c r="AZ71" s="177"/>
      <c r="BA71" s="182"/>
      <c r="BB71" s="177"/>
      <c r="BC71" s="181"/>
      <c r="BD71" s="177"/>
      <c r="BE71" s="181"/>
      <c r="BF71" s="181"/>
      <c r="BG71" s="181"/>
      <c r="BH71" s="181"/>
      <c r="BI71" s="178"/>
      <c r="BN71" s="79"/>
      <c r="BO71" s="79"/>
    </row>
    <row r="72" spans="2:68" ht="14.25" customHeight="1" x14ac:dyDescent="0.25">
      <c r="B72" s="16">
        <v>46</v>
      </c>
      <c r="C72" s="95">
        <v>44897</v>
      </c>
      <c r="D72" s="84" t="s">
        <v>162</v>
      </c>
      <c r="E72" s="85" t="s">
        <v>6</v>
      </c>
      <c r="F72" s="86" t="s">
        <v>64</v>
      </c>
      <c r="G72" s="62">
        <v>1</v>
      </c>
      <c r="H72" s="87" t="s">
        <v>6</v>
      </c>
      <c r="I72" s="62">
        <v>0</v>
      </c>
      <c r="J72" s="64">
        <f t="shared" si="142"/>
        <v>1</v>
      </c>
      <c r="K72" s="63">
        <f>IF(OR(G72="",I72="",'Resultat &amp; tabell'!G72="",'Resultat &amp; tabell'!I72=""),0,IF(G72='Resultat &amp; tabell'!G72,2,0)+IF(I72='Resultat &amp; tabell'!I72,2,0)+IF(J72='Resultat &amp; tabell'!J72,3,0))</f>
        <v>0</v>
      </c>
      <c r="Z72" s="88" t="str">
        <f t="shared" si="143"/>
        <v>Korea</v>
      </c>
      <c r="AA72" s="89">
        <f t="shared" si="136"/>
        <v>3</v>
      </c>
      <c r="AB72" s="89">
        <f t="shared" si="137"/>
        <v>1</v>
      </c>
      <c r="AC72" s="89">
        <f t="shared" si="138"/>
        <v>0</v>
      </c>
      <c r="AD72" s="88" t="str">
        <f t="shared" si="144"/>
        <v>Portugal</v>
      </c>
      <c r="AE72" s="89">
        <f t="shared" si="139"/>
        <v>0</v>
      </c>
      <c r="AF72" s="73">
        <f t="shared" si="140"/>
        <v>0</v>
      </c>
      <c r="AG72" s="73">
        <f t="shared" si="141"/>
        <v>1</v>
      </c>
      <c r="AZ72" s="177"/>
      <c r="BA72" s="182"/>
      <c r="BB72" s="177"/>
      <c r="BC72" s="181"/>
      <c r="BD72" s="177"/>
      <c r="BE72" s="181"/>
      <c r="BF72" s="181"/>
      <c r="BG72" s="181"/>
      <c r="BH72" s="181"/>
      <c r="BI72" s="178"/>
    </row>
    <row r="73" spans="2:68" ht="14.25" customHeight="1" x14ac:dyDescent="0.25">
      <c r="J73" s="24"/>
      <c r="K73" s="24"/>
      <c r="BI73" s="103"/>
    </row>
    <row r="74" spans="2:68" ht="14.25" customHeight="1" x14ac:dyDescent="0.25">
      <c r="B74" s="68" t="s">
        <v>1</v>
      </c>
      <c r="C74" s="38"/>
      <c r="D74" s="5"/>
      <c r="J74" s="24"/>
      <c r="K74" s="24"/>
      <c r="Z74" s="73"/>
      <c r="AZ74" s="75" t="s">
        <v>1</v>
      </c>
      <c r="BA74" s="41"/>
      <c r="BB74" s="78"/>
      <c r="BI74" s="103"/>
      <c r="BK74" s="126" t="s">
        <v>1</v>
      </c>
      <c r="BL74" s="127"/>
      <c r="BM74" s="128"/>
      <c r="BN74" s="129"/>
      <c r="BO74" s="129"/>
    </row>
    <row r="75" spans="2:68" ht="14.25" customHeight="1" x14ac:dyDescent="0.25">
      <c r="B75" s="119" t="s">
        <v>2</v>
      </c>
      <c r="C75" s="112" t="s">
        <v>3</v>
      </c>
      <c r="D75" s="207"/>
      <c r="E75" s="208"/>
      <c r="F75" s="209"/>
      <c r="G75" s="208" t="s">
        <v>4</v>
      </c>
      <c r="H75" s="208"/>
      <c r="I75" s="208"/>
      <c r="J75" s="28" t="s">
        <v>69</v>
      </c>
      <c r="K75" s="7" t="s">
        <v>75</v>
      </c>
      <c r="M75" s="39" t="s">
        <v>111</v>
      </c>
      <c r="N75" s="39"/>
      <c r="O75" s="40"/>
      <c r="P75" s="225" t="s">
        <v>127</v>
      </c>
      <c r="Q75" s="226"/>
      <c r="R75" s="226"/>
      <c r="S75" s="227"/>
      <c r="W75" s="23"/>
      <c r="X75" s="124"/>
      <c r="Z75" s="5"/>
      <c r="AA75" s="108" t="s">
        <v>2</v>
      </c>
      <c r="AB75" s="108"/>
      <c r="AC75" s="108"/>
      <c r="AD75" s="108"/>
      <c r="AE75" s="108"/>
      <c r="AF75" s="72"/>
      <c r="AH75" s="73"/>
      <c r="AZ75" s="121" t="s">
        <v>2</v>
      </c>
      <c r="BA75" s="113" t="s">
        <v>3</v>
      </c>
      <c r="BB75" s="165" t="s">
        <v>2</v>
      </c>
      <c r="BC75" s="204"/>
      <c r="BD75" s="167"/>
      <c r="BE75" s="204" t="s">
        <v>4</v>
      </c>
      <c r="BF75" s="204"/>
      <c r="BG75" s="204"/>
      <c r="BH75" s="204" t="s">
        <v>69</v>
      </c>
      <c r="BI75" s="28" t="s">
        <v>75</v>
      </c>
      <c r="BK75" s="78"/>
      <c r="BL75" s="1" t="s">
        <v>90</v>
      </c>
      <c r="BM75" s="74" t="s">
        <v>89</v>
      </c>
      <c r="BN75" s="74" t="s">
        <v>91</v>
      </c>
      <c r="BO75" s="74" t="s">
        <v>92</v>
      </c>
      <c r="BP75" s="74" t="s">
        <v>75</v>
      </c>
    </row>
    <row r="76" spans="2:68" ht="14.25" customHeight="1" x14ac:dyDescent="0.25">
      <c r="B76" s="98">
        <v>50</v>
      </c>
      <c r="C76" s="130">
        <v>44898</v>
      </c>
      <c r="D76" s="131" t="str">
        <f>IF($M$26=0,$M$22,"Vinnare grupp C")</f>
        <v>Argentina</v>
      </c>
      <c r="E76" s="132" t="s">
        <v>6</v>
      </c>
      <c r="F76" s="133" t="str">
        <f>IF($M$35=0,$M$32,"Tvåa grupp D")</f>
        <v>Tunisien</v>
      </c>
      <c r="G76" s="62">
        <v>1</v>
      </c>
      <c r="H76" s="87" t="s">
        <v>6</v>
      </c>
      <c r="I76" s="62">
        <v>0</v>
      </c>
      <c r="J76" s="64">
        <f t="shared" ref="J76:J83" si="157">IF(OR(ISBLANK(G76),ISBLANK(I76)),"",IF(G76&gt;I76,1,IF(G76&lt;I76,2,"X")))</f>
        <v>1</v>
      </c>
      <c r="K76" s="63">
        <f>IF(OR(G76="",I76="",'Resultat &amp; tabell'!G76="",'Resultat &amp; tabell'!I76=""),0,IF(G76='Resultat &amp; tabell'!G76,2,0)+IF(I76='Resultat &amp; tabell'!I76,2,0)+IF(J76='Resultat &amp; tabell'!J76,3,0))</f>
        <v>0</v>
      </c>
      <c r="M76" s="65" t="s">
        <v>60</v>
      </c>
      <c r="N76" s="66" t="str">
        <f>IF(OR(ISBLANK(D76),ISBLANK(F76),J76="",M76=""),"",IF(OR(AND(J76=1,M76=D76),AND(J76=2,M76=F76),AND(J76="X",OR(M76=D76,M76=F76))),"","Ej OK"))</f>
        <v/>
      </c>
      <c r="O76" s="40" t="b">
        <f>M76=D76</f>
        <v>1</v>
      </c>
      <c r="P76" s="228">
        <f>BP92</f>
        <v>0</v>
      </c>
      <c r="Q76" s="229"/>
      <c r="R76" s="229"/>
      <c r="S76" s="230"/>
      <c r="W76" s="23"/>
      <c r="X76" s="124"/>
      <c r="Z76" s="5"/>
      <c r="AA76" s="89" t="s">
        <v>8</v>
      </c>
      <c r="AD76" s="89"/>
      <c r="AE76" s="88" t="s">
        <v>9</v>
      </c>
      <c r="AF76" s="72"/>
      <c r="AH76" s="73"/>
      <c r="AZ76" s="99">
        <v>49</v>
      </c>
      <c r="BA76" s="100">
        <v>41818</v>
      </c>
      <c r="BB76" s="91" t="str">
        <f t="shared" ref="BB76:BB83" si="158">D76</f>
        <v>Argentina</v>
      </c>
      <c r="BC76" s="134" t="s">
        <v>6</v>
      </c>
      <c r="BD76" s="91" t="str">
        <f t="shared" ref="BD76:BD83" si="159">F76</f>
        <v>Tunisien</v>
      </c>
      <c r="BE76" s="92">
        <f>IF(G76='Resultat &amp; tabell'!$G76,2,0)</f>
        <v>0</v>
      </c>
      <c r="BF76" s="135" t="s">
        <v>6</v>
      </c>
      <c r="BG76" s="92">
        <f>IF(I76='Resultat &amp; tabell'!$I76,2,0)</f>
        <v>2</v>
      </c>
      <c r="BH76" s="92">
        <f>IF(J76='Resultat &amp; tabell'!$J76,1,0)</f>
        <v>0</v>
      </c>
      <c r="BI76" s="93">
        <f t="shared" ref="BI76:BI83" si="160">SUM(BE76+BG76+BH76)</f>
        <v>2</v>
      </c>
      <c r="BK76" s="78"/>
      <c r="BL76" s="45" t="str">
        <f t="shared" ref="BL76:BL83" si="161">BB76</f>
        <v>Argentina</v>
      </c>
      <c r="BM76" s="45" t="str">
        <f>'Resultat &amp; tabell'!D76</f>
        <v>Vinnare grupp C</v>
      </c>
      <c r="BN76" s="125" t="e">
        <f t="shared" ref="BN76:BN91" si="162">VLOOKUP(BL76,$BM$76:$BM$91,1,FALSE)</f>
        <v>#N/A</v>
      </c>
      <c r="BO76" s="136" t="e">
        <f>BN76</f>
        <v>#N/A</v>
      </c>
      <c r="BP76" s="78">
        <f t="shared" ref="BP76:BP91" si="163">IFERROR(IF(BN76=BO76,2,0),0)</f>
        <v>0</v>
      </c>
    </row>
    <row r="77" spans="2:68" ht="14.25" customHeight="1" x14ac:dyDescent="0.25">
      <c r="B77" s="16">
        <v>49</v>
      </c>
      <c r="C77" s="95">
        <v>44898</v>
      </c>
      <c r="D77" s="131" t="str">
        <f>IF($M$8=0,$M$4,"Vinnare grupp A")</f>
        <v>Qatar</v>
      </c>
      <c r="E77" s="132" t="s">
        <v>6</v>
      </c>
      <c r="F77" s="133" t="str">
        <f>IF($M$17=0,$M$14,"Tvåa grupp B")</f>
        <v>Wales</v>
      </c>
      <c r="G77" s="62">
        <v>1</v>
      </c>
      <c r="H77" s="87" t="s">
        <v>6</v>
      </c>
      <c r="I77" s="62">
        <v>0</v>
      </c>
      <c r="J77" s="64">
        <f t="shared" si="157"/>
        <v>1</v>
      </c>
      <c r="K77" s="63">
        <f>IF(OR(G77="",I77="",'Resultat &amp; tabell'!G77="",'Resultat &amp; tabell'!I77=""),0,IF(G77='Resultat &amp; tabell'!G77,2,0)+IF(I77='Resultat &amp; tabell'!I77,2,0)+IF(J77='Resultat &amp; tabell'!J77,3,0))</f>
        <v>0</v>
      </c>
      <c r="M77" s="65" t="s">
        <v>200</v>
      </c>
      <c r="N77" s="66" t="str">
        <f t="shared" ref="N77:N83" si="164">IF(OR(ISBLANK(D77),ISBLANK(F77),J77="",M77=""),"",IF(OR(AND(J77=1,M77=D77),AND(J77=2,M77=F77),AND(J77="X",OR(M77=D77,M77=F77))),"","Ej OK"))</f>
        <v/>
      </c>
      <c r="O77" s="40"/>
      <c r="P77" s="41"/>
      <c r="Q77" s="2"/>
      <c r="R77" s="2"/>
      <c r="S77" s="5"/>
      <c r="W77" s="23"/>
      <c r="X77" s="124"/>
      <c r="Z77" s="5"/>
      <c r="AA77" s="89" t="s">
        <v>12</v>
      </c>
      <c r="AD77" s="89"/>
      <c r="AE77" s="88" t="s">
        <v>13</v>
      </c>
      <c r="AF77" s="72"/>
      <c r="AH77" s="73"/>
      <c r="AZ77" s="90">
        <v>50</v>
      </c>
      <c r="BA77" s="96">
        <v>41818.708333333336</v>
      </c>
      <c r="BB77" s="91" t="str">
        <f t="shared" si="158"/>
        <v>Qatar</v>
      </c>
      <c r="BC77" s="134" t="s">
        <v>6</v>
      </c>
      <c r="BD77" s="91" t="str">
        <f t="shared" si="159"/>
        <v>Wales</v>
      </c>
      <c r="BE77" s="92">
        <f>IF(G77='Resultat &amp; tabell'!$G77,2,0)</f>
        <v>0</v>
      </c>
      <c r="BF77" s="64" t="s">
        <v>6</v>
      </c>
      <c r="BG77" s="92">
        <f>IF(I77='Resultat &amp; tabell'!$I77,2,0)</f>
        <v>2</v>
      </c>
      <c r="BH77" s="92">
        <f>IF(J77='Resultat &amp; tabell'!$J77,1,0)</f>
        <v>0</v>
      </c>
      <c r="BI77" s="93">
        <f t="shared" si="160"/>
        <v>2</v>
      </c>
      <c r="BK77" s="78"/>
      <c r="BL77" s="45" t="str">
        <f t="shared" si="161"/>
        <v>Qatar</v>
      </c>
      <c r="BM77" s="45" t="str">
        <f>'Resultat &amp; tabell'!D77</f>
        <v>Vinnare grupp A</v>
      </c>
      <c r="BN77" s="125" t="e">
        <f t="shared" si="162"/>
        <v>#N/A</v>
      </c>
      <c r="BO77" s="136" t="e">
        <f t="shared" ref="BO77:BO91" si="165">BN77</f>
        <v>#N/A</v>
      </c>
      <c r="BP77" s="78">
        <f t="shared" si="163"/>
        <v>0</v>
      </c>
    </row>
    <row r="78" spans="2:68" ht="14.25" customHeight="1" x14ac:dyDescent="0.25">
      <c r="B78" s="16">
        <v>51</v>
      </c>
      <c r="C78" s="95">
        <v>44899</v>
      </c>
      <c r="D78" s="131" t="str">
        <f>IF($M$17=0,$M$13,"Vinnare grupp B")</f>
        <v>England</v>
      </c>
      <c r="E78" s="132" t="s">
        <v>6</v>
      </c>
      <c r="F78" s="133" t="str">
        <f>IF($M$8=0,$M$5,"Tvåa grupp A")</f>
        <v>Nederländerna</v>
      </c>
      <c r="G78" s="62">
        <v>1</v>
      </c>
      <c r="H78" s="87" t="s">
        <v>6</v>
      </c>
      <c r="I78" s="62">
        <v>0</v>
      </c>
      <c r="J78" s="64">
        <f t="shared" si="157"/>
        <v>1</v>
      </c>
      <c r="K78" s="63">
        <f>IF(OR(G78="",I78="",'Resultat &amp; tabell'!G78="",'Resultat &amp; tabell'!I78=""),0,IF(G78='Resultat &amp; tabell'!G78,2,0)+IF(I78='Resultat &amp; tabell'!I78,2,0)+IF(J78='Resultat &amp; tabell'!J78,3,0))</f>
        <v>0</v>
      </c>
      <c r="M78" s="65" t="s">
        <v>54</v>
      </c>
      <c r="N78" s="66" t="str">
        <f t="shared" si="164"/>
        <v/>
      </c>
      <c r="O78" s="40"/>
      <c r="P78" s="41"/>
      <c r="Q78" s="2"/>
      <c r="R78" s="2"/>
      <c r="S78" s="5"/>
      <c r="W78" s="23"/>
      <c r="X78" s="124"/>
      <c r="Z78" s="5"/>
      <c r="AA78" s="89" t="s">
        <v>14</v>
      </c>
      <c r="AD78" s="89"/>
      <c r="AE78" s="88" t="s">
        <v>15</v>
      </c>
      <c r="AF78" s="72"/>
      <c r="AH78" s="73"/>
      <c r="AZ78" s="90">
        <v>51</v>
      </c>
      <c r="BA78" s="96">
        <v>41819.541666666664</v>
      </c>
      <c r="BB78" s="91" t="str">
        <f t="shared" si="158"/>
        <v>England</v>
      </c>
      <c r="BC78" s="134" t="s">
        <v>6</v>
      </c>
      <c r="BD78" s="91" t="str">
        <f t="shared" si="159"/>
        <v>Nederländerna</v>
      </c>
      <c r="BE78" s="92">
        <f>IF(G78='Resultat &amp; tabell'!$G78,2,0)</f>
        <v>0</v>
      </c>
      <c r="BF78" s="64" t="s">
        <v>6</v>
      </c>
      <c r="BG78" s="92">
        <f>IF(I78='Resultat &amp; tabell'!$I78,2,0)</f>
        <v>2</v>
      </c>
      <c r="BH78" s="92">
        <f>IF(J78='Resultat &amp; tabell'!$J78,1,0)</f>
        <v>0</v>
      </c>
      <c r="BI78" s="93">
        <f t="shared" si="160"/>
        <v>2</v>
      </c>
      <c r="BK78" s="78"/>
      <c r="BL78" s="45" t="str">
        <f t="shared" si="161"/>
        <v>England</v>
      </c>
      <c r="BM78" s="45" t="str">
        <f>'Resultat &amp; tabell'!D78</f>
        <v>Vinnare grupp B</v>
      </c>
      <c r="BN78" s="125" t="e">
        <f t="shared" si="162"/>
        <v>#N/A</v>
      </c>
      <c r="BO78" s="136" t="e">
        <f t="shared" si="165"/>
        <v>#N/A</v>
      </c>
      <c r="BP78" s="78">
        <f t="shared" si="163"/>
        <v>0</v>
      </c>
    </row>
    <row r="79" spans="2:68" ht="14.25" customHeight="1" x14ac:dyDescent="0.25">
      <c r="B79" s="16">
        <v>52</v>
      </c>
      <c r="C79" s="95">
        <v>44899</v>
      </c>
      <c r="D79" s="131" t="str">
        <f>IF($M$35=0,$M$31,"Vinnare grupp D")</f>
        <v>Frankrike</v>
      </c>
      <c r="E79" s="132" t="s">
        <v>6</v>
      </c>
      <c r="F79" s="133" t="str">
        <f>IF($M$26=0,$M$23,"Tvåa grupp C")</f>
        <v>Polen</v>
      </c>
      <c r="G79" s="62">
        <v>1</v>
      </c>
      <c r="H79" s="87" t="s">
        <v>6</v>
      </c>
      <c r="I79" s="62">
        <v>0</v>
      </c>
      <c r="J79" s="64">
        <f t="shared" si="157"/>
        <v>1</v>
      </c>
      <c r="K79" s="63">
        <f>IF(OR(G79="",I79="",'Resultat &amp; tabell'!G79="",'Resultat &amp; tabell'!I79=""),0,IF(G79='Resultat &amp; tabell'!G79,2,0)+IF(I79='Resultat &amp; tabell'!I79,2,0)+IF(J79='Resultat &amp; tabell'!J79,3,0))</f>
        <v>0</v>
      </c>
      <c r="M79" s="65" t="s">
        <v>58</v>
      </c>
      <c r="N79" s="66" t="str">
        <f t="shared" si="164"/>
        <v/>
      </c>
      <c r="O79" s="40"/>
      <c r="P79" s="41"/>
      <c r="Q79" s="2"/>
      <c r="R79" s="2"/>
      <c r="S79" s="5"/>
      <c r="W79" s="23"/>
      <c r="X79" s="124"/>
      <c r="Z79" s="5"/>
      <c r="AA79" s="89" t="s">
        <v>16</v>
      </c>
      <c r="AD79" s="89"/>
      <c r="AE79" s="88" t="s">
        <v>17</v>
      </c>
      <c r="AF79" s="72"/>
      <c r="AH79" s="73"/>
      <c r="AZ79" s="90">
        <v>52</v>
      </c>
      <c r="BA79" s="96">
        <v>41819.708333333336</v>
      </c>
      <c r="BB79" s="91" t="str">
        <f t="shared" si="158"/>
        <v>Frankrike</v>
      </c>
      <c r="BC79" s="134" t="s">
        <v>6</v>
      </c>
      <c r="BD79" s="91" t="str">
        <f t="shared" si="159"/>
        <v>Polen</v>
      </c>
      <c r="BE79" s="92">
        <f>IF(G79='Resultat &amp; tabell'!$G79,2,0)</f>
        <v>0</v>
      </c>
      <c r="BF79" s="64" t="s">
        <v>6</v>
      </c>
      <c r="BG79" s="92">
        <f>IF(I79='Resultat &amp; tabell'!$I79,2,0)</f>
        <v>2</v>
      </c>
      <c r="BH79" s="92">
        <f>IF(J79='Resultat &amp; tabell'!$J79,1,0)</f>
        <v>0</v>
      </c>
      <c r="BI79" s="93">
        <f t="shared" si="160"/>
        <v>2</v>
      </c>
      <c r="BK79" s="78"/>
      <c r="BL79" s="45" t="str">
        <f t="shared" si="161"/>
        <v>Frankrike</v>
      </c>
      <c r="BM79" s="45" t="str">
        <f>'Resultat &amp; tabell'!D79</f>
        <v>Vinnare grupp D</v>
      </c>
      <c r="BN79" s="125" t="e">
        <f t="shared" si="162"/>
        <v>#N/A</v>
      </c>
      <c r="BO79" s="136" t="e">
        <f t="shared" si="165"/>
        <v>#N/A</v>
      </c>
      <c r="BP79" s="78">
        <f t="shared" si="163"/>
        <v>0</v>
      </c>
    </row>
    <row r="80" spans="2:68" ht="14.25" customHeight="1" x14ac:dyDescent="0.25">
      <c r="B80" s="137">
        <v>53</v>
      </c>
      <c r="C80" s="138">
        <v>44900</v>
      </c>
      <c r="D80" s="131" t="str">
        <f>IF($M$44=0,$M$40,"Vinnare grupp E")</f>
        <v>Spanien</v>
      </c>
      <c r="E80" s="132" t="s">
        <v>6</v>
      </c>
      <c r="F80" s="133" t="str">
        <f>IF($M$53=0,$M$50,"Tvåa grupp F")</f>
        <v>Kroatien</v>
      </c>
      <c r="G80" s="62">
        <v>1</v>
      </c>
      <c r="H80" s="87" t="s">
        <v>6</v>
      </c>
      <c r="I80" s="62">
        <v>0</v>
      </c>
      <c r="J80" s="64">
        <f t="shared" si="157"/>
        <v>1</v>
      </c>
      <c r="K80" s="63">
        <f>IF(OR(G80="",I80="",'Resultat &amp; tabell'!G80="",'Resultat &amp; tabell'!I80=""),0,IF(G80='Resultat &amp; tabell'!G80,2,0)+IF(I80='Resultat &amp; tabell'!I80,2,0)+IF(J80='Resultat &amp; tabell'!J80,3,0))</f>
        <v>0</v>
      </c>
      <c r="M80" s="65" t="s">
        <v>7</v>
      </c>
      <c r="N80" s="66" t="str">
        <f t="shared" si="164"/>
        <v>Ej OK</v>
      </c>
      <c r="O80" s="40"/>
      <c r="P80" s="41"/>
      <c r="Q80" s="2"/>
      <c r="R80" s="2"/>
      <c r="S80" s="5"/>
      <c r="W80" s="23"/>
      <c r="X80" s="124"/>
      <c r="Z80" s="5"/>
      <c r="AA80" s="89" t="s">
        <v>18</v>
      </c>
      <c r="AD80" s="89"/>
      <c r="AE80" s="88" t="s">
        <v>19</v>
      </c>
      <c r="AF80" s="72"/>
      <c r="AH80" s="73"/>
      <c r="AZ80" s="139">
        <v>53</v>
      </c>
      <c r="BA80" s="140">
        <v>41820.541666666664</v>
      </c>
      <c r="BB80" s="91" t="str">
        <f t="shared" si="158"/>
        <v>Spanien</v>
      </c>
      <c r="BC80" s="134" t="s">
        <v>6</v>
      </c>
      <c r="BD80" s="91" t="str">
        <f t="shared" si="159"/>
        <v>Kroatien</v>
      </c>
      <c r="BE80" s="92">
        <f>IF(G80='Resultat &amp; tabell'!$G80,2,0)</f>
        <v>0</v>
      </c>
      <c r="BF80" s="64" t="s">
        <v>6</v>
      </c>
      <c r="BG80" s="92">
        <f>IF(I80='Resultat &amp; tabell'!$I80,2,0)</f>
        <v>2</v>
      </c>
      <c r="BH80" s="92">
        <f>IF(J80='Resultat &amp; tabell'!$J80,1,0)</f>
        <v>0</v>
      </c>
      <c r="BI80" s="93">
        <f t="shared" si="160"/>
        <v>2</v>
      </c>
      <c r="BK80" s="78"/>
      <c r="BL80" s="45" t="str">
        <f t="shared" si="161"/>
        <v>Spanien</v>
      </c>
      <c r="BM80" s="45" t="str">
        <f>'Resultat &amp; tabell'!D80</f>
        <v>Vinnare grupp E</v>
      </c>
      <c r="BN80" s="125" t="e">
        <f t="shared" si="162"/>
        <v>#N/A</v>
      </c>
      <c r="BO80" s="136" t="e">
        <f t="shared" si="165"/>
        <v>#N/A</v>
      </c>
      <c r="BP80" s="78">
        <f t="shared" si="163"/>
        <v>0</v>
      </c>
    </row>
    <row r="81" spans="2:68" ht="14.25" customHeight="1" x14ac:dyDescent="0.25">
      <c r="B81" s="16">
        <v>54</v>
      </c>
      <c r="C81" s="138">
        <v>44900</v>
      </c>
      <c r="D81" s="131" t="str">
        <f>IF($M$62=0,$M$58,"Vinnare grupp G")</f>
        <v>Brasilien</v>
      </c>
      <c r="E81" s="132" t="s">
        <v>6</v>
      </c>
      <c r="F81" s="133" t="str">
        <f>IF($M$71=0,$M$68,"Tvåa grupp H")</f>
        <v>Korea</v>
      </c>
      <c r="G81" s="62">
        <v>1</v>
      </c>
      <c r="H81" s="87" t="s">
        <v>6</v>
      </c>
      <c r="I81" s="62">
        <v>0</v>
      </c>
      <c r="J81" s="64">
        <f t="shared" si="157"/>
        <v>1</v>
      </c>
      <c r="K81" s="63">
        <f>IF(OR(G81="",I81="",'Resultat &amp; tabell'!G81="",'Resultat &amp; tabell'!I81=""),0,IF(G81='Resultat &amp; tabell'!G81,2,0)+IF(I81='Resultat &amp; tabell'!I81,2,0)+IF(J81='Resultat &amp; tabell'!J81,3,0))</f>
        <v>0</v>
      </c>
      <c r="M81" s="65" t="s">
        <v>5</v>
      </c>
      <c r="N81" s="66" t="str">
        <f t="shared" si="164"/>
        <v/>
      </c>
      <c r="O81" s="40"/>
      <c r="P81" s="41"/>
      <c r="Q81" s="2"/>
      <c r="R81" s="2"/>
      <c r="S81" s="5"/>
      <c r="W81" s="23"/>
      <c r="X81" s="124"/>
      <c r="Z81" s="5"/>
      <c r="AA81" s="89" t="s">
        <v>20</v>
      </c>
      <c r="AD81" s="89"/>
      <c r="AE81" s="88" t="s">
        <v>21</v>
      </c>
      <c r="AF81" s="72"/>
      <c r="AH81" s="73"/>
      <c r="AZ81" s="90">
        <v>54</v>
      </c>
      <c r="BA81" s="96">
        <v>41820.708333333336</v>
      </c>
      <c r="BB81" s="91" t="str">
        <f t="shared" si="158"/>
        <v>Brasilien</v>
      </c>
      <c r="BC81" s="134" t="s">
        <v>6</v>
      </c>
      <c r="BD81" s="91" t="str">
        <f t="shared" si="159"/>
        <v>Korea</v>
      </c>
      <c r="BE81" s="92">
        <f>IF(G81='Resultat &amp; tabell'!$G81,2,0)</f>
        <v>0</v>
      </c>
      <c r="BF81" s="64" t="s">
        <v>6</v>
      </c>
      <c r="BG81" s="92">
        <f>IF(I81='Resultat &amp; tabell'!$I81,2,0)</f>
        <v>2</v>
      </c>
      <c r="BH81" s="92">
        <f>IF(J81='Resultat &amp; tabell'!$J81,1,0)</f>
        <v>0</v>
      </c>
      <c r="BI81" s="93">
        <f t="shared" si="160"/>
        <v>2</v>
      </c>
      <c r="BK81" s="78"/>
      <c r="BL81" s="45" t="str">
        <f t="shared" si="161"/>
        <v>Brasilien</v>
      </c>
      <c r="BM81" s="45" t="str">
        <f>'Resultat &amp; tabell'!D81</f>
        <v>Vinnare grupp G</v>
      </c>
      <c r="BN81" s="125" t="e">
        <f t="shared" si="162"/>
        <v>#N/A</v>
      </c>
      <c r="BO81" s="136" t="e">
        <f t="shared" si="165"/>
        <v>#N/A</v>
      </c>
      <c r="BP81" s="78">
        <f t="shared" si="163"/>
        <v>0</v>
      </c>
    </row>
    <row r="82" spans="2:68" ht="14.25" customHeight="1" x14ac:dyDescent="0.25">
      <c r="B82" s="16">
        <v>55</v>
      </c>
      <c r="C82" s="95">
        <v>44901</v>
      </c>
      <c r="D82" s="131" t="str">
        <f>IF($M$53=0,$M$49,"Vinnare grupp F")</f>
        <v>Belgien</v>
      </c>
      <c r="E82" s="132" t="s">
        <v>6</v>
      </c>
      <c r="F82" s="133" t="str">
        <f>IF($M$44=0,$M$41,"Tvåa grupp E")</f>
        <v>Japan</v>
      </c>
      <c r="G82" s="62">
        <v>1</v>
      </c>
      <c r="H82" s="87" t="s">
        <v>6</v>
      </c>
      <c r="I82" s="62">
        <v>0</v>
      </c>
      <c r="J82" s="64">
        <f t="shared" si="157"/>
        <v>1</v>
      </c>
      <c r="K82" s="63">
        <f>IF(OR(G82="",I82="",'Resultat &amp; tabell'!G82="",'Resultat &amp; tabell'!I82=""),0,IF(G82='Resultat &amp; tabell'!G82,2,0)+IF(I82='Resultat &amp; tabell'!I82,2,0)+IF(J82='Resultat &amp; tabell'!J82,3,0))</f>
        <v>0</v>
      </c>
      <c r="M82" s="65" t="s">
        <v>42</v>
      </c>
      <c r="N82" s="66" t="str">
        <f t="shared" si="164"/>
        <v>Ej OK</v>
      </c>
      <c r="O82" s="40"/>
      <c r="P82" s="41"/>
      <c r="Q82" s="2"/>
      <c r="R82" s="2"/>
      <c r="S82" s="5"/>
      <c r="W82" s="23"/>
      <c r="X82" s="124"/>
      <c r="Z82" s="5"/>
      <c r="AA82" s="89" t="s">
        <v>22</v>
      </c>
      <c r="AD82" s="89"/>
      <c r="AE82" s="88" t="s">
        <v>23</v>
      </c>
      <c r="AF82" s="72"/>
      <c r="AH82" s="73"/>
      <c r="AZ82" s="90">
        <v>55</v>
      </c>
      <c r="BA82" s="96">
        <v>41821</v>
      </c>
      <c r="BB82" s="91" t="str">
        <f t="shared" si="158"/>
        <v>Belgien</v>
      </c>
      <c r="BC82" s="134" t="s">
        <v>6</v>
      </c>
      <c r="BD82" s="91" t="str">
        <f t="shared" si="159"/>
        <v>Japan</v>
      </c>
      <c r="BE82" s="92">
        <f>IF(G82='Resultat &amp; tabell'!$G82,2,0)</f>
        <v>0</v>
      </c>
      <c r="BF82" s="49" t="s">
        <v>6</v>
      </c>
      <c r="BG82" s="92">
        <f>IF(I82='Resultat &amp; tabell'!$I82,2,0)</f>
        <v>2</v>
      </c>
      <c r="BH82" s="92">
        <f>IF(J82='Resultat &amp; tabell'!$J82,1,0)</f>
        <v>0</v>
      </c>
      <c r="BI82" s="93">
        <f t="shared" si="160"/>
        <v>2</v>
      </c>
      <c r="BK82" s="78"/>
      <c r="BL82" s="45" t="str">
        <f t="shared" si="161"/>
        <v>Belgien</v>
      </c>
      <c r="BM82" s="45" t="str">
        <f>'Resultat &amp; tabell'!D82</f>
        <v>Vinnare grupp F</v>
      </c>
      <c r="BN82" s="125" t="e">
        <f t="shared" si="162"/>
        <v>#N/A</v>
      </c>
      <c r="BO82" s="136" t="e">
        <f t="shared" si="165"/>
        <v>#N/A</v>
      </c>
      <c r="BP82" s="78">
        <f t="shared" si="163"/>
        <v>0</v>
      </c>
    </row>
    <row r="83" spans="2:68" ht="14.25" customHeight="1" x14ac:dyDescent="0.25">
      <c r="B83" s="16">
        <v>56</v>
      </c>
      <c r="C83" s="95">
        <v>44901</v>
      </c>
      <c r="D83" s="131" t="str">
        <f>IF($M$71=0,$M$67,"Vinnare grupp H")</f>
        <v>Portugal</v>
      </c>
      <c r="E83" s="132" t="s">
        <v>6</v>
      </c>
      <c r="F83" s="133" t="str">
        <f>IF($M$62=0,$M$59,"Tvåa grupp G")</f>
        <v>Kamerun</v>
      </c>
      <c r="G83" s="62">
        <v>1</v>
      </c>
      <c r="H83" s="87" t="s">
        <v>6</v>
      </c>
      <c r="I83" s="62">
        <v>0</v>
      </c>
      <c r="J83" s="64">
        <f t="shared" si="157"/>
        <v>1</v>
      </c>
      <c r="K83" s="63">
        <f>IF(OR(G83="",I83="",'Resultat &amp; tabell'!G83="",'Resultat &amp; tabell'!I83=""),0,IF(G83='Resultat &amp; tabell'!G83,2,0)+IF(I83='Resultat &amp; tabell'!I83,2,0)+IF(J83='Resultat &amp; tabell'!J83,3,0))</f>
        <v>0</v>
      </c>
      <c r="M83" s="65" t="s">
        <v>11</v>
      </c>
      <c r="N83" s="66" t="str">
        <f t="shared" si="164"/>
        <v>Ej OK</v>
      </c>
      <c r="O83" s="40"/>
      <c r="P83" s="41"/>
      <c r="Q83" s="2"/>
      <c r="R83" s="2"/>
      <c r="S83" s="5"/>
      <c r="W83" s="23"/>
      <c r="X83" s="124"/>
      <c r="Z83" s="5"/>
      <c r="AA83" s="89" t="s">
        <v>25</v>
      </c>
      <c r="AD83" s="89"/>
      <c r="AE83" s="88" t="s">
        <v>26</v>
      </c>
      <c r="AF83" s="72"/>
      <c r="AH83" s="73"/>
      <c r="AZ83" s="90">
        <v>56</v>
      </c>
      <c r="BA83" s="96">
        <v>41821</v>
      </c>
      <c r="BB83" s="91" t="str">
        <f t="shared" si="158"/>
        <v>Portugal</v>
      </c>
      <c r="BC83" s="134" t="s">
        <v>6</v>
      </c>
      <c r="BD83" s="91" t="str">
        <f t="shared" si="159"/>
        <v>Kamerun</v>
      </c>
      <c r="BE83" s="92">
        <f>IF(G83='Resultat &amp; tabell'!$G83,2,0)</f>
        <v>0</v>
      </c>
      <c r="BF83" s="64" t="s">
        <v>6</v>
      </c>
      <c r="BG83" s="92">
        <f>IF(I83='Resultat &amp; tabell'!$I83,2,0)</f>
        <v>2</v>
      </c>
      <c r="BH83" s="92">
        <f>IF(J83='Resultat &amp; tabell'!$J83,1,0)</f>
        <v>0</v>
      </c>
      <c r="BI83" s="93">
        <f t="shared" si="160"/>
        <v>2</v>
      </c>
      <c r="BK83" s="78"/>
      <c r="BL83" s="45" t="str">
        <f t="shared" si="161"/>
        <v>Portugal</v>
      </c>
      <c r="BM83" s="45" t="str">
        <f>'Resultat &amp; tabell'!D83</f>
        <v>Vinnare grupp H</v>
      </c>
      <c r="BN83" s="125" t="e">
        <f t="shared" si="162"/>
        <v>#N/A</v>
      </c>
      <c r="BO83" s="136" t="e">
        <f t="shared" si="165"/>
        <v>#N/A</v>
      </c>
      <c r="BP83" s="78">
        <f t="shared" si="163"/>
        <v>0</v>
      </c>
    </row>
    <row r="84" spans="2:68" ht="14.25" customHeight="1" x14ac:dyDescent="0.25">
      <c r="B84" s="4"/>
      <c r="C84" s="141"/>
      <c r="D84" s="4"/>
      <c r="E84" s="4"/>
      <c r="F84" s="4"/>
      <c r="G84" s="32"/>
      <c r="H84" s="32"/>
      <c r="I84" s="32"/>
      <c r="J84" s="24"/>
      <c r="K84" s="24"/>
      <c r="M84" s="42"/>
      <c r="N84" s="42"/>
      <c r="O84" s="40"/>
      <c r="P84" s="41"/>
      <c r="Q84" s="2"/>
      <c r="R84" s="2"/>
      <c r="S84" s="5"/>
      <c r="W84" s="23"/>
      <c r="X84" s="124"/>
      <c r="Z84" s="5"/>
      <c r="AD84" s="89"/>
      <c r="AE84" s="88"/>
      <c r="AF84" s="72"/>
      <c r="AH84" s="73"/>
      <c r="AZ84" s="79"/>
      <c r="BA84" s="142"/>
      <c r="BB84" s="79"/>
      <c r="BC84" s="79"/>
      <c r="BD84" s="79"/>
      <c r="BE84" s="49"/>
      <c r="BF84" s="49"/>
      <c r="BG84" s="49"/>
      <c r="BH84" s="49"/>
      <c r="BI84" s="103"/>
      <c r="BK84" s="78"/>
      <c r="BL84" s="45" t="str">
        <f t="shared" ref="BL84:BL91" si="166">BD76</f>
        <v>Tunisien</v>
      </c>
      <c r="BM84" s="45" t="str">
        <f>'Resultat &amp; tabell'!F76</f>
        <v>Tvåa grupp D</v>
      </c>
      <c r="BN84" s="125" t="e">
        <f t="shared" si="162"/>
        <v>#N/A</v>
      </c>
      <c r="BO84" s="136" t="e">
        <f t="shared" si="165"/>
        <v>#N/A</v>
      </c>
      <c r="BP84" s="78">
        <f t="shared" si="163"/>
        <v>0</v>
      </c>
    </row>
    <row r="85" spans="2:68" ht="14.25" customHeight="1" x14ac:dyDescent="0.25">
      <c r="B85" s="68" t="s">
        <v>28</v>
      </c>
      <c r="C85" s="38"/>
      <c r="D85" s="5"/>
      <c r="J85" s="24"/>
      <c r="K85" s="24"/>
      <c r="M85" s="42"/>
      <c r="N85" s="42"/>
      <c r="O85" s="40"/>
      <c r="P85" s="41"/>
      <c r="Q85" s="2"/>
      <c r="R85" s="2"/>
      <c r="S85" s="5"/>
      <c r="W85" s="23"/>
      <c r="X85" s="124"/>
      <c r="Z85" s="5"/>
      <c r="AA85" s="73"/>
      <c r="AD85" s="89"/>
      <c r="AE85" s="88"/>
      <c r="AF85" s="72"/>
      <c r="AH85" s="73"/>
      <c r="AZ85" s="75" t="s">
        <v>28</v>
      </c>
      <c r="BA85" s="41"/>
      <c r="BB85" s="78"/>
      <c r="BI85" s="103"/>
      <c r="BK85" s="78"/>
      <c r="BL85" s="45" t="str">
        <f t="shared" si="166"/>
        <v>Wales</v>
      </c>
      <c r="BM85" s="45" t="str">
        <f>'Resultat &amp; tabell'!F77</f>
        <v>Tvåa grupp B</v>
      </c>
      <c r="BN85" s="125" t="e">
        <f t="shared" si="162"/>
        <v>#N/A</v>
      </c>
      <c r="BO85" s="136" t="e">
        <f t="shared" si="165"/>
        <v>#N/A</v>
      </c>
      <c r="BP85" s="78">
        <f t="shared" si="163"/>
        <v>0</v>
      </c>
    </row>
    <row r="86" spans="2:68" ht="14.25" customHeight="1" x14ac:dyDescent="0.25">
      <c r="B86" s="119" t="s">
        <v>2</v>
      </c>
      <c r="C86" s="112" t="s">
        <v>3</v>
      </c>
      <c r="D86" s="207" t="s">
        <v>2</v>
      </c>
      <c r="E86" s="208"/>
      <c r="F86" s="209"/>
      <c r="G86" s="208" t="s">
        <v>4</v>
      </c>
      <c r="H86" s="208"/>
      <c r="I86" s="208"/>
      <c r="J86" s="28" t="s">
        <v>69</v>
      </c>
      <c r="K86" s="7" t="s">
        <v>75</v>
      </c>
      <c r="M86" s="43" t="s">
        <v>110</v>
      </c>
      <c r="N86" s="43"/>
      <c r="O86" s="40"/>
      <c r="P86" s="225" t="s">
        <v>128</v>
      </c>
      <c r="Q86" s="226"/>
      <c r="R86" s="226"/>
      <c r="S86" s="227"/>
      <c r="W86" s="23"/>
      <c r="X86" s="124"/>
      <c r="Z86" s="5"/>
      <c r="AA86" s="108" t="s">
        <v>2</v>
      </c>
      <c r="AB86" s="108"/>
      <c r="AC86" s="108"/>
      <c r="AD86" s="108"/>
      <c r="AE86" s="108"/>
      <c r="AF86" s="72"/>
      <c r="AH86" s="73"/>
      <c r="AZ86" s="121" t="s">
        <v>2</v>
      </c>
      <c r="BA86" s="113" t="s">
        <v>3</v>
      </c>
      <c r="BB86" s="165" t="s">
        <v>2</v>
      </c>
      <c r="BC86" s="204"/>
      <c r="BD86" s="167"/>
      <c r="BE86" s="204" t="s">
        <v>4</v>
      </c>
      <c r="BF86" s="204"/>
      <c r="BG86" s="204"/>
      <c r="BH86" s="204" t="s">
        <v>69</v>
      </c>
      <c r="BI86" s="28" t="s">
        <v>75</v>
      </c>
      <c r="BK86" s="78"/>
      <c r="BL86" s="45" t="str">
        <f t="shared" si="166"/>
        <v>Nederländerna</v>
      </c>
      <c r="BM86" s="45" t="str">
        <f>'Resultat &amp; tabell'!F78</f>
        <v>Tvåa grupp A</v>
      </c>
      <c r="BN86" s="125" t="e">
        <f t="shared" si="162"/>
        <v>#N/A</v>
      </c>
      <c r="BO86" s="136" t="e">
        <f t="shared" si="165"/>
        <v>#N/A</v>
      </c>
      <c r="BP86" s="78">
        <f t="shared" si="163"/>
        <v>0</v>
      </c>
    </row>
    <row r="87" spans="2:68" ht="14.25" customHeight="1" x14ac:dyDescent="0.25">
      <c r="B87" s="16">
        <v>57</v>
      </c>
      <c r="C87" s="95">
        <v>44904</v>
      </c>
      <c r="D87" s="131" t="str">
        <f>IF(M77="","Vinnare match 49",M77)</f>
        <v>Qatar</v>
      </c>
      <c r="E87" s="132" t="s">
        <v>6</v>
      </c>
      <c r="F87" s="133" t="str">
        <f>IF(M76="","Vinnare match 50",M76)</f>
        <v>Argentina</v>
      </c>
      <c r="G87" s="62">
        <v>1</v>
      </c>
      <c r="H87" s="87" t="s">
        <v>6</v>
      </c>
      <c r="I87" s="62">
        <v>0</v>
      </c>
      <c r="J87" s="64">
        <f t="shared" ref="J87:J90" si="167">IF(OR(ISBLANK(G87),ISBLANK(I87)),"",IF(G87&gt;I87,1,IF(G87&lt;I87,2,"X")))</f>
        <v>1</v>
      </c>
      <c r="K87" s="63">
        <f>IF(OR(G87="",I87="",'Resultat &amp; tabell'!G87="",'Resultat &amp; tabell'!I87=""),0,IF(G87='Resultat &amp; tabell'!G87,2,0)+IF(I87='Resultat &amp; tabell'!I87,2,0)+IF(J87='Resultat &amp; tabell'!J87,3,0))</f>
        <v>0</v>
      </c>
      <c r="M87" s="65" t="s">
        <v>200</v>
      </c>
      <c r="N87" s="66" t="str">
        <f>IF(OR(ISBLANK(D87),ISBLANK(F87),J87="",M87=""),"",IF(OR(AND(J87=1,M87=D87),AND(J87=2,M87=F87),AND(J87="X",OR(M87=D87,M87=F87))),"","Ej OK"))</f>
        <v/>
      </c>
      <c r="O87" s="40"/>
      <c r="P87" s="228">
        <f>BP103</f>
        <v>0</v>
      </c>
      <c r="Q87" s="229"/>
      <c r="R87" s="229"/>
      <c r="S87" s="230"/>
      <c r="W87" s="23"/>
      <c r="X87" s="124"/>
      <c r="Z87" s="5"/>
      <c r="AA87" s="89" t="s">
        <v>30</v>
      </c>
      <c r="AD87" s="89"/>
      <c r="AE87" s="88" t="s">
        <v>31</v>
      </c>
      <c r="AF87" s="72"/>
      <c r="AH87" s="73"/>
      <c r="AZ87" s="90">
        <v>57</v>
      </c>
      <c r="BA87" s="96">
        <v>41824</v>
      </c>
      <c r="BB87" s="91" t="str">
        <f>D87</f>
        <v>Qatar</v>
      </c>
      <c r="BC87" s="134" t="s">
        <v>6</v>
      </c>
      <c r="BD87" s="91" t="str">
        <f>F87</f>
        <v>Argentina</v>
      </c>
      <c r="BE87" s="92">
        <f>IF(G87='Resultat &amp; tabell'!$G87,2,0)</f>
        <v>0</v>
      </c>
      <c r="BF87" s="64" t="s">
        <v>6</v>
      </c>
      <c r="BG87" s="92">
        <f>IF(I87='Resultat &amp; tabell'!$I87,2,0)</f>
        <v>2</v>
      </c>
      <c r="BH87" s="92">
        <f>IF(J87='Resultat &amp; tabell'!$J87,1,0)</f>
        <v>0</v>
      </c>
      <c r="BI87" s="93">
        <f t="shared" ref="BI87:BI90" si="168">SUM(BE87+BG87+BH87)</f>
        <v>2</v>
      </c>
      <c r="BK87" s="78"/>
      <c r="BL87" s="45" t="str">
        <f t="shared" si="166"/>
        <v>Polen</v>
      </c>
      <c r="BM87" s="45" t="str">
        <f>'Resultat &amp; tabell'!F79</f>
        <v>Tvåa grupp C</v>
      </c>
      <c r="BN87" s="125" t="e">
        <f t="shared" si="162"/>
        <v>#N/A</v>
      </c>
      <c r="BO87" s="136" t="e">
        <f t="shared" si="165"/>
        <v>#N/A</v>
      </c>
      <c r="BP87" s="78">
        <f t="shared" si="163"/>
        <v>0</v>
      </c>
    </row>
    <row r="88" spans="2:68" ht="14.25" customHeight="1" x14ac:dyDescent="0.25">
      <c r="B88" s="16">
        <v>58</v>
      </c>
      <c r="C88" s="95">
        <v>44904</v>
      </c>
      <c r="D88" s="131" t="str">
        <f>IF(M80="","Vinnare match 53",M80)</f>
        <v>Kroatien</v>
      </c>
      <c r="E88" s="132" t="s">
        <v>6</v>
      </c>
      <c r="F88" s="133" t="str">
        <f>IF(M81="","Vinnare match 54",M81)</f>
        <v>Brasilien</v>
      </c>
      <c r="G88" s="62">
        <v>1</v>
      </c>
      <c r="H88" s="87" t="s">
        <v>6</v>
      </c>
      <c r="I88" s="62">
        <v>0</v>
      </c>
      <c r="J88" s="64">
        <f t="shared" si="167"/>
        <v>1</v>
      </c>
      <c r="K88" s="63">
        <f>IF(OR(G88="",I88="",'Resultat &amp; tabell'!G88="",'Resultat &amp; tabell'!I88=""),0,IF(G88='Resultat &amp; tabell'!G88,2,0)+IF(I88='Resultat &amp; tabell'!I88,2,0)+IF(J88='Resultat &amp; tabell'!J88,3,0))</f>
        <v>0</v>
      </c>
      <c r="M88" s="65" t="s">
        <v>7</v>
      </c>
      <c r="N88" s="66" t="str">
        <f t="shared" ref="N88:N90" si="169">IF(OR(ISBLANK(D88),ISBLANK(F88),J88="",M88=""),"",IF(OR(AND(J88=1,M88=D88),AND(J88=2,M88=F88),AND(J88="X",OR(M88=D88,M88=F88))),"","Ej OK"))</f>
        <v/>
      </c>
      <c r="O88" s="40"/>
      <c r="P88" s="44"/>
      <c r="Q88" s="2"/>
      <c r="R88" s="2"/>
      <c r="S88" s="5"/>
      <c r="W88" s="23"/>
      <c r="X88" s="124"/>
      <c r="Z88" s="5"/>
      <c r="AA88" s="89" t="s">
        <v>32</v>
      </c>
      <c r="AD88" s="89"/>
      <c r="AE88" s="88" t="s">
        <v>33</v>
      </c>
      <c r="AF88" s="72"/>
      <c r="AH88" s="73"/>
      <c r="AZ88" s="90">
        <v>58</v>
      </c>
      <c r="BA88" s="96">
        <v>41824</v>
      </c>
      <c r="BB88" s="91" t="str">
        <f>D88</f>
        <v>Kroatien</v>
      </c>
      <c r="BC88" s="134" t="s">
        <v>6</v>
      </c>
      <c r="BD88" s="91" t="str">
        <f>F88</f>
        <v>Brasilien</v>
      </c>
      <c r="BE88" s="92">
        <f>IF(G88='Resultat &amp; tabell'!$G88,2,0)</f>
        <v>0</v>
      </c>
      <c r="BF88" s="64" t="s">
        <v>6</v>
      </c>
      <c r="BG88" s="92">
        <f>IF(I88='Resultat &amp; tabell'!$I88,2,0)</f>
        <v>2</v>
      </c>
      <c r="BH88" s="92">
        <f>IF(J88='Resultat &amp; tabell'!$J88,1,0)</f>
        <v>0</v>
      </c>
      <c r="BI88" s="93">
        <f t="shared" si="168"/>
        <v>2</v>
      </c>
      <c r="BK88" s="78"/>
      <c r="BL88" s="45" t="str">
        <f t="shared" si="166"/>
        <v>Kroatien</v>
      </c>
      <c r="BM88" s="45" t="str">
        <f>'Resultat &amp; tabell'!F80</f>
        <v>Tvåa grupp F</v>
      </c>
      <c r="BN88" s="125" t="e">
        <f t="shared" si="162"/>
        <v>#N/A</v>
      </c>
      <c r="BO88" s="136" t="e">
        <f t="shared" si="165"/>
        <v>#N/A</v>
      </c>
      <c r="BP88" s="78">
        <f t="shared" si="163"/>
        <v>0</v>
      </c>
    </row>
    <row r="89" spans="2:68" ht="14.25" customHeight="1" x14ac:dyDescent="0.25">
      <c r="B89" s="16">
        <v>59</v>
      </c>
      <c r="C89" s="95">
        <v>44905</v>
      </c>
      <c r="D89" s="131" t="str">
        <f>IF(M78="","Vinnare match 51",M78)</f>
        <v>England</v>
      </c>
      <c r="E89" s="132" t="s">
        <v>6</v>
      </c>
      <c r="F89" s="133" t="str">
        <f>IF(M79="","Vinnare match 52",M79)</f>
        <v>Frankrike</v>
      </c>
      <c r="G89" s="62">
        <v>1</v>
      </c>
      <c r="H89" s="87" t="s">
        <v>6</v>
      </c>
      <c r="I89" s="62">
        <v>0</v>
      </c>
      <c r="J89" s="64">
        <f t="shared" si="167"/>
        <v>1</v>
      </c>
      <c r="K89" s="63">
        <f>IF(OR(G89="",I89="",'Resultat &amp; tabell'!G89="",'Resultat &amp; tabell'!I89=""),0,IF(G89='Resultat &amp; tabell'!G89,2,0)+IF(I89='Resultat &amp; tabell'!I89,2,0)+IF(J89='Resultat &amp; tabell'!J89,3,0))</f>
        <v>0</v>
      </c>
      <c r="M89" s="65" t="s">
        <v>54</v>
      </c>
      <c r="N89" s="66" t="str">
        <f t="shared" si="169"/>
        <v/>
      </c>
      <c r="O89" s="40"/>
      <c r="P89" s="44"/>
      <c r="Q89" s="2"/>
      <c r="R89" s="2"/>
      <c r="S89" s="5"/>
      <c r="W89" s="23"/>
      <c r="X89" s="124"/>
      <c r="Z89" s="5"/>
      <c r="AA89" s="89" t="s">
        <v>34</v>
      </c>
      <c r="AD89" s="89"/>
      <c r="AE89" s="88" t="s">
        <v>35</v>
      </c>
      <c r="AF89" s="72"/>
      <c r="AH89" s="73"/>
      <c r="AZ89" s="90">
        <v>59</v>
      </c>
      <c r="BA89" s="96">
        <v>41825</v>
      </c>
      <c r="BB89" s="91" t="str">
        <f>D89</f>
        <v>England</v>
      </c>
      <c r="BC89" s="134" t="s">
        <v>6</v>
      </c>
      <c r="BD89" s="91" t="str">
        <f>F89</f>
        <v>Frankrike</v>
      </c>
      <c r="BE89" s="92">
        <f>IF(G89='Resultat &amp; tabell'!$G89,2,0)</f>
        <v>0</v>
      </c>
      <c r="BF89" s="64" t="s">
        <v>6</v>
      </c>
      <c r="BG89" s="92">
        <f>IF(I89='Resultat &amp; tabell'!$I89,2,0)</f>
        <v>2</v>
      </c>
      <c r="BH89" s="92">
        <f>IF(J89='Resultat &amp; tabell'!$J89,1,0)</f>
        <v>0</v>
      </c>
      <c r="BI89" s="93">
        <f t="shared" si="168"/>
        <v>2</v>
      </c>
      <c r="BK89" s="78"/>
      <c r="BL89" s="45" t="str">
        <f t="shared" si="166"/>
        <v>Korea</v>
      </c>
      <c r="BM89" s="45" t="str">
        <f>'Resultat &amp; tabell'!F81</f>
        <v>Tvåa grupp H</v>
      </c>
      <c r="BN89" s="125" t="e">
        <f t="shared" si="162"/>
        <v>#N/A</v>
      </c>
      <c r="BO89" s="136" t="e">
        <f t="shared" si="165"/>
        <v>#N/A</v>
      </c>
      <c r="BP89" s="78">
        <f t="shared" si="163"/>
        <v>0</v>
      </c>
    </row>
    <row r="90" spans="2:68" ht="14.25" customHeight="1" x14ac:dyDescent="0.25">
      <c r="B90" s="16">
        <v>60</v>
      </c>
      <c r="C90" s="95">
        <v>44905</v>
      </c>
      <c r="D90" s="131" t="str">
        <f>IF(M82="","Vinnare match 55",M82)</f>
        <v>Japan</v>
      </c>
      <c r="E90" s="132" t="s">
        <v>6</v>
      </c>
      <c r="F90" s="133" t="str">
        <f>IF(M83="","Vinnare match 56",M83)</f>
        <v>Kamerun</v>
      </c>
      <c r="G90" s="62">
        <v>1</v>
      </c>
      <c r="H90" s="87" t="s">
        <v>6</v>
      </c>
      <c r="I90" s="62">
        <v>0</v>
      </c>
      <c r="J90" s="64">
        <f t="shared" si="167"/>
        <v>1</v>
      </c>
      <c r="K90" s="63">
        <f>IF(OR(G90="",I90="",'Resultat &amp; tabell'!G90="",'Resultat &amp; tabell'!I90=""),0,IF(G90='Resultat &amp; tabell'!G90,2,0)+IF(I90='Resultat &amp; tabell'!I90,2,0)+IF(J90='Resultat &amp; tabell'!J90,3,0))</f>
        <v>0</v>
      </c>
      <c r="M90" s="65" t="s">
        <v>11</v>
      </c>
      <c r="N90" s="66" t="str">
        <f t="shared" si="169"/>
        <v>Ej OK</v>
      </c>
      <c r="O90" s="40"/>
      <c r="P90" s="44"/>
      <c r="Q90" s="2"/>
      <c r="R90" s="2"/>
      <c r="S90" s="5"/>
      <c r="W90" s="23"/>
      <c r="X90" s="124"/>
      <c r="Z90" s="5"/>
      <c r="AA90" s="89" t="s">
        <v>36</v>
      </c>
      <c r="AD90" s="89"/>
      <c r="AE90" s="88" t="s">
        <v>37</v>
      </c>
      <c r="AF90" s="72"/>
      <c r="AH90" s="73"/>
      <c r="AZ90" s="90">
        <v>60</v>
      </c>
      <c r="BA90" s="96">
        <v>41825</v>
      </c>
      <c r="BB90" s="91" t="str">
        <f>D90</f>
        <v>Japan</v>
      </c>
      <c r="BC90" s="134" t="s">
        <v>6</v>
      </c>
      <c r="BD90" s="91" t="str">
        <f>F90</f>
        <v>Kamerun</v>
      </c>
      <c r="BE90" s="92">
        <f>IF(G90='Resultat &amp; tabell'!$G90,2,0)</f>
        <v>0</v>
      </c>
      <c r="BF90" s="64" t="s">
        <v>6</v>
      </c>
      <c r="BG90" s="92">
        <f>IF(I90='Resultat &amp; tabell'!$I90,2,0)</f>
        <v>2</v>
      </c>
      <c r="BH90" s="92">
        <f>IF(J90='Resultat &amp; tabell'!$J90,1,0)</f>
        <v>0</v>
      </c>
      <c r="BI90" s="93">
        <f t="shared" si="168"/>
        <v>2</v>
      </c>
      <c r="BK90" s="78"/>
      <c r="BL90" s="45" t="str">
        <f t="shared" si="166"/>
        <v>Japan</v>
      </c>
      <c r="BM90" s="45" t="str">
        <f>'Resultat &amp; tabell'!F82</f>
        <v>Tvåa grupp E</v>
      </c>
      <c r="BN90" s="125" t="e">
        <f t="shared" si="162"/>
        <v>#N/A</v>
      </c>
      <c r="BO90" s="136" t="e">
        <f t="shared" si="165"/>
        <v>#N/A</v>
      </c>
      <c r="BP90" s="78">
        <f t="shared" si="163"/>
        <v>0</v>
      </c>
    </row>
    <row r="91" spans="2:68" ht="14.25" customHeight="1" x14ac:dyDescent="0.25">
      <c r="B91" s="37"/>
      <c r="C91" s="38"/>
      <c r="D91" s="5"/>
      <c r="J91" s="24"/>
      <c r="K91" s="24"/>
      <c r="M91" s="42"/>
      <c r="N91" s="42"/>
      <c r="O91" s="40"/>
      <c r="P91" s="44"/>
      <c r="Q91" s="2"/>
      <c r="R91" s="2"/>
      <c r="S91" s="5"/>
      <c r="W91" s="23"/>
      <c r="X91" s="124"/>
      <c r="Z91" s="5"/>
      <c r="AA91" s="73"/>
      <c r="AD91" s="89"/>
      <c r="AE91" s="88"/>
      <c r="AF91" s="72"/>
      <c r="AH91" s="73"/>
      <c r="AZ91" s="42"/>
      <c r="BA91" s="41"/>
      <c r="BB91" s="78"/>
      <c r="BI91" s="103"/>
      <c r="BK91" s="78"/>
      <c r="BL91" s="45" t="str">
        <f t="shared" si="166"/>
        <v>Kamerun</v>
      </c>
      <c r="BM91" s="45" t="str">
        <f>'Resultat &amp; tabell'!F83</f>
        <v>Tvåa grupp G</v>
      </c>
      <c r="BN91" s="125" t="e">
        <f t="shared" si="162"/>
        <v>#N/A</v>
      </c>
      <c r="BO91" s="136" t="e">
        <f t="shared" si="165"/>
        <v>#N/A</v>
      </c>
      <c r="BP91" s="78">
        <f t="shared" si="163"/>
        <v>0</v>
      </c>
    </row>
    <row r="92" spans="2:68" ht="14.25" customHeight="1" x14ac:dyDescent="0.25">
      <c r="B92" s="68" t="s">
        <v>39</v>
      </c>
      <c r="C92" s="38"/>
      <c r="D92" s="5"/>
      <c r="J92" s="24"/>
      <c r="K92" s="24"/>
      <c r="M92" s="42"/>
      <c r="N92" s="42"/>
      <c r="O92" s="40"/>
      <c r="P92" s="44"/>
      <c r="Q92" s="2"/>
      <c r="R92" s="2"/>
      <c r="S92" s="5"/>
      <c r="W92" s="23"/>
      <c r="X92" s="124"/>
      <c r="Z92" s="5"/>
      <c r="AA92" s="73"/>
      <c r="AD92" s="89"/>
      <c r="AE92" s="88"/>
      <c r="AF92" s="72"/>
      <c r="AH92" s="73"/>
      <c r="AZ92" s="75" t="s">
        <v>39</v>
      </c>
      <c r="BA92" s="41"/>
      <c r="BB92" s="78"/>
      <c r="BI92" s="103"/>
      <c r="BK92" s="78"/>
      <c r="BM92" s="45"/>
      <c r="BN92" s="125"/>
      <c r="BO92" s="6" t="s">
        <v>93</v>
      </c>
      <c r="BP92" s="110">
        <f>IF(COUNTIFS('Resultat &amp; tabell'!J3:J72,"")=14,SUM(BP76:BP91),0)</f>
        <v>0</v>
      </c>
    </row>
    <row r="93" spans="2:68" ht="14.25" customHeight="1" x14ac:dyDescent="0.25">
      <c r="B93" s="119" t="s">
        <v>2</v>
      </c>
      <c r="C93" s="112" t="s">
        <v>3</v>
      </c>
      <c r="D93" s="207" t="s">
        <v>2</v>
      </c>
      <c r="E93" s="208"/>
      <c r="F93" s="209"/>
      <c r="G93" s="208" t="s">
        <v>4</v>
      </c>
      <c r="H93" s="208"/>
      <c r="I93" s="208"/>
      <c r="J93" s="28" t="s">
        <v>69</v>
      </c>
      <c r="K93" s="7" t="s">
        <v>75</v>
      </c>
      <c r="M93" s="43" t="s">
        <v>109</v>
      </c>
      <c r="N93" s="43"/>
      <c r="O93" s="40" t="s">
        <v>86</v>
      </c>
      <c r="P93" s="225" t="s">
        <v>129</v>
      </c>
      <c r="Q93" s="226"/>
      <c r="R93" s="226"/>
      <c r="S93" s="227"/>
      <c r="W93" s="23"/>
      <c r="X93" s="124"/>
      <c r="Z93" s="5"/>
      <c r="AA93" s="108" t="s">
        <v>2</v>
      </c>
      <c r="AB93" s="108"/>
      <c r="AC93" s="108"/>
      <c r="AD93" s="108"/>
      <c r="AE93" s="108"/>
      <c r="AF93" s="72"/>
      <c r="AH93" s="73"/>
      <c r="AZ93" s="121" t="s">
        <v>2</v>
      </c>
      <c r="BA93" s="113" t="s">
        <v>3</v>
      </c>
      <c r="BB93" s="165" t="s">
        <v>2</v>
      </c>
      <c r="BC93" s="204"/>
      <c r="BD93" s="167"/>
      <c r="BE93" s="204" t="s">
        <v>4</v>
      </c>
      <c r="BF93" s="204"/>
      <c r="BG93" s="204"/>
      <c r="BH93" s="204" t="s">
        <v>69</v>
      </c>
      <c r="BI93" s="28" t="s">
        <v>75</v>
      </c>
      <c r="BK93" s="78"/>
      <c r="BL93" s="126" t="s">
        <v>28</v>
      </c>
      <c r="BM93" s="127"/>
      <c r="BN93" s="128"/>
      <c r="BO93" s="129"/>
      <c r="BP93" s="129"/>
    </row>
    <row r="94" spans="2:68" ht="14.25" customHeight="1" x14ac:dyDescent="0.25">
      <c r="B94" s="16">
        <v>61</v>
      </c>
      <c r="C94" s="95">
        <v>44908</v>
      </c>
      <c r="D94" s="131" t="str">
        <f>IF(M87="","Vinnare match 57",M87)</f>
        <v>Qatar</v>
      </c>
      <c r="E94" s="132" t="s">
        <v>6</v>
      </c>
      <c r="F94" s="133" t="str">
        <f>IF(M88="","Vinnare match 58",M88)</f>
        <v>Kroatien</v>
      </c>
      <c r="G94" s="62">
        <v>1</v>
      </c>
      <c r="H94" s="87" t="s">
        <v>6</v>
      </c>
      <c r="I94" s="62">
        <v>0</v>
      </c>
      <c r="J94" s="64">
        <f t="shared" ref="J94:J95" si="170">IF(OR(ISBLANK(G94),ISBLANK(I94)),"",IF(G94&gt;I94,1,IF(G94&lt;I94,2,"X")))</f>
        <v>1</v>
      </c>
      <c r="K94" s="63">
        <f>IF(OR(G94="",I94="",'Resultat &amp; tabell'!G94="",'Resultat &amp; tabell'!I94=""),0,IF(G94='Resultat &amp; tabell'!G94,2,0)+IF(I94='Resultat &amp; tabell'!I94,2,0)+IF(J94='Resultat &amp; tabell'!J94,3,0))</f>
        <v>0</v>
      </c>
      <c r="M94" s="65" t="s">
        <v>200</v>
      </c>
      <c r="N94" s="66" t="str">
        <f>IF(OR(ISBLANK(D94),ISBLANK(F94),J94="",M94=""),"",IF(OR(AND(J94=1,M94=D94),AND(J94=2,M94=F94),AND(J94="X",OR(M94=D94,M94=F94))),"","Ej OK"))</f>
        <v/>
      </c>
      <c r="O94" s="37"/>
      <c r="P94" s="228">
        <f>BP110</f>
        <v>0</v>
      </c>
      <c r="Q94" s="229"/>
      <c r="R94" s="229"/>
      <c r="S94" s="230"/>
      <c r="T94" s="40" t="str">
        <f>IF(M94=D94,F94,D94)</f>
        <v>Kroatien</v>
      </c>
      <c r="W94" s="23"/>
      <c r="X94" s="124"/>
      <c r="Z94" s="5"/>
      <c r="AA94" s="89" t="s">
        <v>40</v>
      </c>
      <c r="AD94" s="89"/>
      <c r="AE94" s="88" t="s">
        <v>41</v>
      </c>
      <c r="AF94" s="72"/>
      <c r="AH94" s="73"/>
      <c r="AZ94" s="90">
        <v>61</v>
      </c>
      <c r="BA94" s="96">
        <v>41828.708333333336</v>
      </c>
      <c r="BB94" s="91" t="str">
        <f>D94</f>
        <v>Qatar</v>
      </c>
      <c r="BC94" s="134" t="s">
        <v>6</v>
      </c>
      <c r="BD94" s="91" t="str">
        <f>F94</f>
        <v>Kroatien</v>
      </c>
      <c r="BE94" s="92">
        <f>IF(G94='Resultat &amp; tabell'!$G94,2,0)</f>
        <v>0</v>
      </c>
      <c r="BF94" s="64" t="s">
        <v>6</v>
      </c>
      <c r="BG94" s="92">
        <f>IF(I94='Resultat &amp; tabell'!$I94,2,0)</f>
        <v>2</v>
      </c>
      <c r="BH94" s="92">
        <f>IF(J94='Resultat &amp; tabell'!$J94,1,0)</f>
        <v>0</v>
      </c>
      <c r="BI94" s="93">
        <f t="shared" ref="BI94:BI95" si="171">SUM(BE94+BG94+BH94)</f>
        <v>2</v>
      </c>
      <c r="BK94" s="78"/>
      <c r="BL94" s="1" t="s">
        <v>90</v>
      </c>
      <c r="BM94" s="74" t="s">
        <v>89</v>
      </c>
      <c r="BN94" s="74" t="s">
        <v>91</v>
      </c>
      <c r="BO94" s="74" t="s">
        <v>92</v>
      </c>
      <c r="BP94" s="74" t="s">
        <v>75</v>
      </c>
    </row>
    <row r="95" spans="2:68" ht="14.25" customHeight="1" x14ac:dyDescent="0.25">
      <c r="B95" s="16">
        <v>62</v>
      </c>
      <c r="C95" s="95">
        <v>44909</v>
      </c>
      <c r="D95" s="131" t="str">
        <f>IF(M89="","Vinnare match 59",M89)</f>
        <v>England</v>
      </c>
      <c r="E95" s="132" t="s">
        <v>6</v>
      </c>
      <c r="F95" s="133" t="str">
        <f>IF(M90="","Vinnare match 60",M90)</f>
        <v>Kamerun</v>
      </c>
      <c r="G95" s="62">
        <v>1</v>
      </c>
      <c r="H95" s="87" t="s">
        <v>6</v>
      </c>
      <c r="I95" s="62">
        <v>0</v>
      </c>
      <c r="J95" s="64">
        <f t="shared" si="170"/>
        <v>1</v>
      </c>
      <c r="K95" s="63">
        <f>IF(OR(G95="",I95="",'Resultat &amp; tabell'!G95="",'Resultat &amp; tabell'!I95=""),0,IF(G95='Resultat &amp; tabell'!G95,2,0)+IF(I95='Resultat &amp; tabell'!I95,2,0)+IF(J95='Resultat &amp; tabell'!J95,3,0))</f>
        <v>0</v>
      </c>
      <c r="M95" s="65" t="s">
        <v>11</v>
      </c>
      <c r="N95" s="66" t="str">
        <f>IF(OR(ISBLANK(D95),ISBLANK(F95),J95="",M95=""),"",IF(OR(AND(J95=1,M95=D95),AND(J95=2,M95=F95),AND(J95="X",OR(M95=D95,M95=F95))),"","Ej OK"))</f>
        <v>Ej OK</v>
      </c>
      <c r="O95" s="37"/>
      <c r="P95" s="44"/>
      <c r="R95" s="2"/>
      <c r="S95" s="5"/>
      <c r="T95" s="40" t="str">
        <f>IF(M95=D95,F95,D95)</f>
        <v>England</v>
      </c>
      <c r="W95" s="23"/>
      <c r="X95" s="124"/>
      <c r="Z95" s="5"/>
      <c r="AA95" s="89" t="s">
        <v>43</v>
      </c>
      <c r="AD95" s="89"/>
      <c r="AE95" s="88" t="s">
        <v>44</v>
      </c>
      <c r="AF95" s="72"/>
      <c r="AH95" s="73"/>
      <c r="AZ95" s="90">
        <v>62</v>
      </c>
      <c r="BA95" s="96">
        <v>41829.708333333336</v>
      </c>
      <c r="BB95" s="91" t="str">
        <f>D95</f>
        <v>England</v>
      </c>
      <c r="BC95" s="134" t="s">
        <v>6</v>
      </c>
      <c r="BD95" s="91" t="str">
        <f>F95</f>
        <v>Kamerun</v>
      </c>
      <c r="BE95" s="92">
        <f>IF(G95='Resultat &amp; tabell'!$G95,2,0)</f>
        <v>0</v>
      </c>
      <c r="BF95" s="64" t="s">
        <v>6</v>
      </c>
      <c r="BG95" s="92">
        <f>IF(I95='Resultat &amp; tabell'!$I95,2,0)</f>
        <v>2</v>
      </c>
      <c r="BH95" s="92">
        <f>IF(J95='Resultat &amp; tabell'!$J95,1,0)</f>
        <v>0</v>
      </c>
      <c r="BI95" s="93">
        <f t="shared" si="171"/>
        <v>2</v>
      </c>
      <c r="BK95" s="78"/>
      <c r="BL95" s="45" t="str">
        <f>D87</f>
        <v>Qatar</v>
      </c>
      <c r="BM95" s="45" t="str">
        <f>'Resultat &amp; tabell'!D87</f>
        <v>Vinnare match 49</v>
      </c>
      <c r="BN95" s="125" t="e">
        <f t="shared" ref="BN95:BN102" si="172">VLOOKUP(BL95,$BM$95:$BM$102,1,FALSE)</f>
        <v>#N/A</v>
      </c>
      <c r="BO95" s="136" t="e">
        <f t="shared" ref="BO95:BO102" si="173">BN95</f>
        <v>#N/A</v>
      </c>
      <c r="BP95" s="78">
        <f>IFERROR(IF(AND(COUNTIF($J$76:$J$83,"")=0,BN95=BO95),4,0),0)</f>
        <v>0</v>
      </c>
    </row>
    <row r="96" spans="2:68" ht="14.25" customHeight="1" x14ac:dyDescent="0.25">
      <c r="B96" s="37"/>
      <c r="C96" s="38"/>
      <c r="D96" s="5"/>
      <c r="J96" s="24"/>
      <c r="K96" s="24"/>
      <c r="M96" s="42"/>
      <c r="N96" s="42"/>
      <c r="O96" s="40"/>
      <c r="P96" s="44"/>
      <c r="Q96" s="2"/>
      <c r="R96" s="2"/>
      <c r="S96" s="5"/>
      <c r="W96" s="23"/>
      <c r="X96" s="124"/>
      <c r="Z96" s="5"/>
      <c r="AA96" s="73"/>
      <c r="AD96" s="89"/>
      <c r="AE96" s="88"/>
      <c r="AF96" s="72"/>
      <c r="AH96" s="73"/>
      <c r="AZ96" s="42"/>
      <c r="BA96" s="41"/>
      <c r="BB96" s="78"/>
      <c r="BI96" s="103"/>
      <c r="BK96" s="78"/>
      <c r="BL96" s="45" t="str">
        <f>D88</f>
        <v>Kroatien</v>
      </c>
      <c r="BM96" s="45" t="str">
        <f>'Resultat &amp; tabell'!D88</f>
        <v>Vinnare match 53</v>
      </c>
      <c r="BN96" s="125" t="e">
        <f t="shared" si="172"/>
        <v>#N/A</v>
      </c>
      <c r="BO96" s="136" t="e">
        <f t="shared" si="173"/>
        <v>#N/A</v>
      </c>
      <c r="BP96" s="78">
        <f t="shared" ref="BP96:BP102" si="174">IFERROR(IF(AND(COUNTIF($J$76:$J$83,"")=0,BN96=BO96),4,0),0)</f>
        <v>0</v>
      </c>
    </row>
    <row r="97" spans="2:68" ht="14.25" customHeight="1" x14ac:dyDescent="0.25">
      <c r="B97" s="68" t="s">
        <v>45</v>
      </c>
      <c r="C97" s="38"/>
      <c r="D97" s="5"/>
      <c r="J97" s="24"/>
      <c r="K97" s="24"/>
      <c r="M97" s="42"/>
      <c r="N97" s="42"/>
      <c r="O97" s="40"/>
      <c r="P97" s="44"/>
      <c r="Q97" s="2"/>
      <c r="R97" s="2"/>
      <c r="S97" s="5"/>
      <c r="W97" s="23"/>
      <c r="X97" s="124"/>
      <c r="Z97" s="5"/>
      <c r="AA97" s="73"/>
      <c r="AD97" s="89"/>
      <c r="AE97" s="88"/>
      <c r="AF97" s="72"/>
      <c r="AH97" s="73"/>
      <c r="AZ97" s="75" t="s">
        <v>45</v>
      </c>
      <c r="BA97" s="41"/>
      <c r="BB97" s="78"/>
      <c r="BI97" s="103"/>
      <c r="BK97" s="78"/>
      <c r="BL97" s="45" t="str">
        <f>D89</f>
        <v>England</v>
      </c>
      <c r="BM97" s="45" t="str">
        <f>'Resultat &amp; tabell'!D89</f>
        <v>Vinnare match 51</v>
      </c>
      <c r="BN97" s="125" t="e">
        <f t="shared" si="172"/>
        <v>#N/A</v>
      </c>
      <c r="BO97" s="136" t="e">
        <f t="shared" si="173"/>
        <v>#N/A</v>
      </c>
      <c r="BP97" s="78">
        <f t="shared" si="174"/>
        <v>0</v>
      </c>
    </row>
    <row r="98" spans="2:68" ht="14.25" customHeight="1" x14ac:dyDescent="0.25">
      <c r="B98" s="119" t="s">
        <v>2</v>
      </c>
      <c r="C98" s="112" t="s">
        <v>3</v>
      </c>
      <c r="D98" s="207" t="s">
        <v>2</v>
      </c>
      <c r="E98" s="208"/>
      <c r="F98" s="208"/>
      <c r="G98" s="221" t="s">
        <v>4</v>
      </c>
      <c r="H98" s="208"/>
      <c r="I98" s="214"/>
      <c r="J98" s="28" t="s">
        <v>69</v>
      </c>
      <c r="K98" s="7" t="s">
        <v>75</v>
      </c>
      <c r="M98" s="43" t="s">
        <v>143</v>
      </c>
      <c r="N98" s="43"/>
      <c r="O98" s="40"/>
      <c r="P98" s="225" t="s">
        <v>130</v>
      </c>
      <c r="Q98" s="226"/>
      <c r="R98" s="226"/>
      <c r="S98" s="227"/>
      <c r="W98" s="23"/>
      <c r="X98" s="124"/>
      <c r="Z98" s="5"/>
      <c r="AA98" s="108" t="s">
        <v>2</v>
      </c>
      <c r="AB98" s="108"/>
      <c r="AC98" s="108"/>
      <c r="AD98" s="108"/>
      <c r="AE98" s="108"/>
      <c r="AF98" s="72"/>
      <c r="AH98" s="73"/>
      <c r="AZ98" s="121" t="s">
        <v>2</v>
      </c>
      <c r="BA98" s="113" t="s">
        <v>3</v>
      </c>
      <c r="BB98" s="165" t="s">
        <v>2</v>
      </c>
      <c r="BC98" s="204"/>
      <c r="BD98" s="204"/>
      <c r="BE98" s="203" t="s">
        <v>4</v>
      </c>
      <c r="BF98" s="204"/>
      <c r="BG98" s="205"/>
      <c r="BH98" s="204" t="s">
        <v>69</v>
      </c>
      <c r="BI98" s="28" t="s">
        <v>75</v>
      </c>
      <c r="BK98" s="78"/>
      <c r="BL98" s="45" t="str">
        <f>D90</f>
        <v>Japan</v>
      </c>
      <c r="BM98" s="45" t="str">
        <f>'Resultat &amp; tabell'!D90</f>
        <v>Vinnare match 55</v>
      </c>
      <c r="BN98" s="125" t="e">
        <f t="shared" si="172"/>
        <v>#N/A</v>
      </c>
      <c r="BO98" s="136" t="e">
        <f t="shared" si="173"/>
        <v>#N/A</v>
      </c>
      <c r="BP98" s="78">
        <f t="shared" si="174"/>
        <v>0</v>
      </c>
    </row>
    <row r="99" spans="2:68" ht="14.25" customHeight="1" x14ac:dyDescent="0.25">
      <c r="B99" s="16">
        <v>63</v>
      </c>
      <c r="C99" s="95">
        <v>44912</v>
      </c>
      <c r="D99" s="131" t="str">
        <f>IF(M94="","Förlorare match 61",T94)</f>
        <v>Kroatien</v>
      </c>
      <c r="E99" s="132" t="s">
        <v>6</v>
      </c>
      <c r="F99" s="133" t="str">
        <f>IF(M95="","Förlorare match 62",T95)</f>
        <v>England</v>
      </c>
      <c r="G99" s="62">
        <v>1</v>
      </c>
      <c r="H99" s="87" t="s">
        <v>6</v>
      </c>
      <c r="I99" s="62">
        <v>0</v>
      </c>
      <c r="J99" s="64">
        <f>IF(OR(ISBLANK(G99),ISBLANK(I99)),"",IF(G99&gt;I99,1,IF(G99&lt;I99,2,"X")))</f>
        <v>1</v>
      </c>
      <c r="K99" s="63">
        <f>IF(OR(G99="",I99="",'Resultat &amp; tabell'!G99="",'Resultat &amp; tabell'!I99=""),0,IF(G99='Resultat &amp; tabell'!G99,2,0)+IF(I99='Resultat &amp; tabell'!I99,2,0)+IF(J99='Resultat &amp; tabell'!J99,3,0))</f>
        <v>0</v>
      </c>
      <c r="M99" s="65" t="s">
        <v>54</v>
      </c>
      <c r="N99" s="66" t="str">
        <f>IF(OR(ISBLANK(D99),ISBLANK(F99),J99="",M99=""),"",IF(OR(AND(J99=1,M99=D99),AND(J99=2,M99=F99),AND(J99="X",OR(M99=D99,M99=F99))),"","Ej OK"))</f>
        <v>Ej OK</v>
      </c>
      <c r="O99" s="40"/>
      <c r="P99" s="228">
        <f>BP115</f>
        <v>0</v>
      </c>
      <c r="Q99" s="229"/>
      <c r="R99" s="229"/>
      <c r="S99" s="230"/>
      <c r="W99" s="23"/>
      <c r="X99" s="124"/>
      <c r="Z99" s="5"/>
      <c r="AA99" s="89" t="s">
        <v>46</v>
      </c>
      <c r="AD99" s="89"/>
      <c r="AE99" s="88" t="s">
        <v>47</v>
      </c>
      <c r="AF99" s="72"/>
      <c r="AH99" s="73"/>
      <c r="AZ99" s="90">
        <v>63</v>
      </c>
      <c r="BA99" s="96">
        <v>41832</v>
      </c>
      <c r="BB99" s="91" t="str">
        <f>D99</f>
        <v>Kroatien</v>
      </c>
      <c r="BC99" s="134" t="s">
        <v>6</v>
      </c>
      <c r="BD99" s="91" t="str">
        <f>F99</f>
        <v>England</v>
      </c>
      <c r="BE99" s="92">
        <f>IF(G99='Resultat &amp; tabell'!$G99,2,0)</f>
        <v>0</v>
      </c>
      <c r="BF99" s="64" t="s">
        <v>6</v>
      </c>
      <c r="BG99" s="92">
        <f>IF(I99='Resultat &amp; tabell'!$I99,2,0)</f>
        <v>2</v>
      </c>
      <c r="BH99" s="92">
        <f>IF(J99='Resultat &amp; tabell'!$J99,1,0)</f>
        <v>0</v>
      </c>
      <c r="BI99" s="93">
        <f>SUM(BE99+BG99+BH99)</f>
        <v>2</v>
      </c>
      <c r="BK99" s="78"/>
      <c r="BL99" s="45" t="str">
        <f>F87</f>
        <v>Argentina</v>
      </c>
      <c r="BM99" s="45" t="str">
        <f>'Resultat &amp; tabell'!F87</f>
        <v>Vinnare match 50</v>
      </c>
      <c r="BN99" s="125" t="e">
        <f t="shared" si="172"/>
        <v>#N/A</v>
      </c>
      <c r="BO99" s="136" t="e">
        <f t="shared" si="173"/>
        <v>#N/A</v>
      </c>
      <c r="BP99" s="78">
        <f t="shared" si="174"/>
        <v>0</v>
      </c>
    </row>
    <row r="100" spans="2:68" ht="14.25" customHeight="1" x14ac:dyDescent="0.25">
      <c r="B100" s="37"/>
      <c r="C100" s="38"/>
      <c r="D100" s="5"/>
      <c r="J100" s="24"/>
      <c r="K100" s="24"/>
      <c r="M100" s="45"/>
      <c r="N100" s="45"/>
      <c r="O100" s="40"/>
      <c r="P100" s="46"/>
      <c r="Q100" s="2"/>
      <c r="R100" s="2"/>
      <c r="S100" s="5"/>
      <c r="W100" s="23"/>
      <c r="X100" s="124"/>
      <c r="Z100" s="5"/>
      <c r="AA100" s="73"/>
      <c r="AD100" s="89"/>
      <c r="AE100" s="88"/>
      <c r="AF100" s="72"/>
      <c r="AH100" s="73"/>
      <c r="AZ100" s="42"/>
      <c r="BA100" s="41"/>
      <c r="BB100" s="78"/>
      <c r="BI100" s="103"/>
      <c r="BK100" s="78"/>
      <c r="BL100" s="45" t="str">
        <f>F88</f>
        <v>Brasilien</v>
      </c>
      <c r="BM100" s="45" t="str">
        <f>'Resultat &amp; tabell'!F88</f>
        <v>Vinnare match 54</v>
      </c>
      <c r="BN100" s="125" t="e">
        <f t="shared" si="172"/>
        <v>#N/A</v>
      </c>
      <c r="BO100" s="136" t="e">
        <f t="shared" si="173"/>
        <v>#N/A</v>
      </c>
      <c r="BP100" s="78">
        <f t="shared" si="174"/>
        <v>0</v>
      </c>
    </row>
    <row r="101" spans="2:68" ht="14.25" customHeight="1" x14ac:dyDescent="0.25">
      <c r="B101" s="68" t="s">
        <v>49</v>
      </c>
      <c r="C101" s="104"/>
      <c r="D101" s="26"/>
      <c r="E101" s="27"/>
      <c r="F101" s="68"/>
      <c r="G101" s="27"/>
      <c r="H101" s="27"/>
      <c r="I101" s="27"/>
      <c r="J101" s="24"/>
      <c r="K101" s="24"/>
      <c r="M101" s="45"/>
      <c r="N101" s="45"/>
      <c r="O101" s="40"/>
      <c r="P101" s="44"/>
      <c r="Q101" s="2"/>
      <c r="R101" s="2"/>
      <c r="S101" s="5"/>
      <c r="W101" s="23"/>
      <c r="X101" s="124"/>
      <c r="Z101" s="5"/>
      <c r="AA101" s="108"/>
      <c r="AB101" s="71"/>
      <c r="AC101" s="71"/>
      <c r="AD101" s="71"/>
      <c r="AE101" s="70"/>
      <c r="AF101" s="72"/>
      <c r="AH101" s="73"/>
      <c r="AZ101" s="75" t="s">
        <v>49</v>
      </c>
      <c r="BA101" s="109"/>
      <c r="BB101" s="110"/>
      <c r="BC101" s="76"/>
      <c r="BD101" s="75"/>
      <c r="BE101" s="76"/>
      <c r="BF101" s="76"/>
      <c r="BG101" s="76"/>
      <c r="BH101" s="76"/>
      <c r="BI101" s="103"/>
      <c r="BK101" s="78"/>
      <c r="BL101" s="45" t="str">
        <f>F89</f>
        <v>Frankrike</v>
      </c>
      <c r="BM101" s="45" t="str">
        <f>'Resultat &amp; tabell'!F89</f>
        <v>Vinnare match 52</v>
      </c>
      <c r="BN101" s="125" t="e">
        <f t="shared" si="172"/>
        <v>#N/A</v>
      </c>
      <c r="BO101" s="136" t="e">
        <f t="shared" si="173"/>
        <v>#N/A</v>
      </c>
      <c r="BP101" s="78">
        <f t="shared" si="174"/>
        <v>0</v>
      </c>
    </row>
    <row r="102" spans="2:68" ht="14.25" customHeight="1" x14ac:dyDescent="0.25">
      <c r="B102" s="119" t="s">
        <v>2</v>
      </c>
      <c r="C102" s="112" t="s">
        <v>3</v>
      </c>
      <c r="D102" s="207" t="s">
        <v>2</v>
      </c>
      <c r="E102" s="208"/>
      <c r="F102" s="209"/>
      <c r="G102" s="208" t="s">
        <v>4</v>
      </c>
      <c r="H102" s="208"/>
      <c r="I102" s="208"/>
      <c r="J102" s="28" t="s">
        <v>69</v>
      </c>
      <c r="K102" s="7" t="s">
        <v>75</v>
      </c>
      <c r="M102" s="43" t="s">
        <v>144</v>
      </c>
      <c r="N102" s="43"/>
      <c r="O102" s="40"/>
      <c r="P102" s="225" t="s">
        <v>131</v>
      </c>
      <c r="Q102" s="226"/>
      <c r="R102" s="226"/>
      <c r="S102" s="227"/>
      <c r="W102" s="23"/>
      <c r="X102" s="124"/>
      <c r="Z102" s="5"/>
      <c r="AA102" s="108" t="s">
        <v>2</v>
      </c>
      <c r="AB102" s="108"/>
      <c r="AC102" s="108"/>
      <c r="AD102" s="108"/>
      <c r="AE102" s="108"/>
      <c r="AF102" s="72"/>
      <c r="AH102" s="73"/>
      <c r="AZ102" s="121" t="s">
        <v>2</v>
      </c>
      <c r="BA102" s="113" t="s">
        <v>3</v>
      </c>
      <c r="BB102" s="165" t="s">
        <v>2</v>
      </c>
      <c r="BC102" s="204"/>
      <c r="BD102" s="167"/>
      <c r="BE102" s="204" t="s">
        <v>4</v>
      </c>
      <c r="BF102" s="204"/>
      <c r="BG102" s="204"/>
      <c r="BH102" s="204" t="s">
        <v>69</v>
      </c>
      <c r="BI102" s="28" t="s">
        <v>75</v>
      </c>
      <c r="BK102" s="78"/>
      <c r="BL102" s="45" t="str">
        <f>F90</f>
        <v>Kamerun</v>
      </c>
      <c r="BM102" s="45" t="str">
        <f>'Resultat &amp; tabell'!F90</f>
        <v>Vinnare match 56</v>
      </c>
      <c r="BN102" s="125" t="e">
        <f t="shared" si="172"/>
        <v>#N/A</v>
      </c>
      <c r="BO102" s="136" t="e">
        <f t="shared" si="173"/>
        <v>#N/A</v>
      </c>
      <c r="BP102" s="78">
        <f t="shared" si="174"/>
        <v>0</v>
      </c>
    </row>
    <row r="103" spans="2:68" ht="14.25" customHeight="1" x14ac:dyDescent="0.25">
      <c r="B103" s="143">
        <v>64</v>
      </c>
      <c r="C103" s="144">
        <v>44913</v>
      </c>
      <c r="D103" s="131" t="str">
        <f>IF(M94="","Vinnare match 61",M94)</f>
        <v>Qatar</v>
      </c>
      <c r="E103" s="132" t="s">
        <v>6</v>
      </c>
      <c r="F103" s="133" t="str">
        <f>IF(M95="","Vinnare match 62",M95)</f>
        <v>Kamerun</v>
      </c>
      <c r="G103" s="62">
        <v>1</v>
      </c>
      <c r="H103" s="87" t="s">
        <v>6</v>
      </c>
      <c r="I103" s="62">
        <v>0</v>
      </c>
      <c r="J103" s="64">
        <f>IF(OR(ISBLANK(G103),ISBLANK(I103)),"",IF(G103&gt;I103,1,IF(G103&lt;I103,2,"X")))</f>
        <v>1</v>
      </c>
      <c r="K103" s="63">
        <f>IF(OR(G103="",I103="",'Resultat &amp; tabell'!G103="",'Resultat &amp; tabell'!I103=""),0,IF(G103='Resultat &amp; tabell'!G103,2,0)+IF(I103='Resultat &amp; tabell'!I103,2,0)+IF(J103='Resultat &amp; tabell'!J103,3,0))</f>
        <v>0</v>
      </c>
      <c r="M103" s="65" t="s">
        <v>200</v>
      </c>
      <c r="N103" s="66" t="str">
        <f>IF(OR(ISBLANK(D103),ISBLANK(F103),J103="",M103=""),"",IF(OR(AND(J103=1,M103=D103),AND(J103=2,M103=F103),AND(J103="X",OR(M103=D103,M103=F103))),"","Ej OK"))</f>
        <v/>
      </c>
      <c r="O103" s="40"/>
      <c r="P103" s="228">
        <f>BP120</f>
        <v>0</v>
      </c>
      <c r="Q103" s="229"/>
      <c r="R103" s="229"/>
      <c r="S103" s="230"/>
      <c r="W103" s="23"/>
      <c r="X103" s="124"/>
      <c r="Z103" s="5"/>
      <c r="AA103" s="89" t="s">
        <v>52</v>
      </c>
      <c r="AD103" s="89"/>
      <c r="AE103" s="88" t="s">
        <v>53</v>
      </c>
      <c r="AF103" s="72"/>
      <c r="AH103" s="73"/>
      <c r="AZ103" s="145">
        <v>64</v>
      </c>
      <c r="BA103" s="146">
        <v>41833.666666666664</v>
      </c>
      <c r="BB103" s="91" t="str">
        <f>D103</f>
        <v>Qatar</v>
      </c>
      <c r="BC103" s="134" t="s">
        <v>6</v>
      </c>
      <c r="BD103" s="91" t="str">
        <f>F103</f>
        <v>Kamerun</v>
      </c>
      <c r="BE103" s="92">
        <f>IF(G103='Resultat &amp; tabell'!$G103,2,0)</f>
        <v>0</v>
      </c>
      <c r="BF103" s="64" t="s">
        <v>6</v>
      </c>
      <c r="BG103" s="92">
        <f>IF(I103='Resultat &amp; tabell'!$I103,2,0)</f>
        <v>2</v>
      </c>
      <c r="BH103" s="92">
        <f>IF(J103='Resultat &amp; tabell'!$J103,1,0)</f>
        <v>0</v>
      </c>
      <c r="BI103" s="93">
        <f>SUM(BE103+BG103+BH103)</f>
        <v>2</v>
      </c>
      <c r="BK103" s="78"/>
      <c r="BM103" s="45"/>
      <c r="BN103" s="147"/>
      <c r="BO103" s="6" t="s">
        <v>93</v>
      </c>
      <c r="BP103" s="110">
        <f>SUM(BP95:BP102)</f>
        <v>0</v>
      </c>
    </row>
    <row r="104" spans="2:68" ht="14.25" customHeight="1" x14ac:dyDescent="0.25">
      <c r="K104" s="24"/>
      <c r="BL104" s="126" t="s">
        <v>39</v>
      </c>
      <c r="BM104" s="127"/>
      <c r="BN104" s="128"/>
      <c r="BO104" s="129"/>
      <c r="BP104" s="129"/>
    </row>
    <row r="105" spans="2:68" ht="14.25" customHeight="1" x14ac:dyDescent="0.25">
      <c r="BL105" s="1" t="s">
        <v>90</v>
      </c>
      <c r="BM105" s="74" t="s">
        <v>89</v>
      </c>
      <c r="BN105" s="74" t="s">
        <v>91</v>
      </c>
      <c r="BO105" s="74" t="s">
        <v>92</v>
      </c>
      <c r="BP105" s="74" t="s">
        <v>75</v>
      </c>
    </row>
    <row r="106" spans="2:68" ht="14.25" customHeight="1" x14ac:dyDescent="0.25">
      <c r="BL106" s="79" t="str">
        <f>D94</f>
        <v>Qatar</v>
      </c>
      <c r="BM106" s="45" t="str">
        <f>'Resultat &amp; tabell'!D94</f>
        <v>Vinnare match 57</v>
      </c>
      <c r="BN106" s="125" t="e">
        <f>VLOOKUP(BL106,$BM$106:$BM$109,1,FALSE)</f>
        <v>#N/A</v>
      </c>
      <c r="BO106" s="136" t="e">
        <f t="shared" ref="BO106:BO109" si="175">BN106</f>
        <v>#N/A</v>
      </c>
      <c r="BP106" s="78">
        <f>IFERROR(IF(AND(COUNTIF($J$87:$J$90,"")=0,BN106=BO106),6,0),0)</f>
        <v>0</v>
      </c>
    </row>
    <row r="107" spans="2:68" ht="14.25" customHeight="1" x14ac:dyDescent="0.25">
      <c r="BL107" s="79" t="str">
        <f>D95</f>
        <v>England</v>
      </c>
      <c r="BM107" s="45" t="str">
        <f>'Resultat &amp; tabell'!D95</f>
        <v>Vinnare match 59</v>
      </c>
      <c r="BN107" s="125" t="e">
        <f>VLOOKUP(BL107,$BM$106:$BM$109,1,FALSE)</f>
        <v>#N/A</v>
      </c>
      <c r="BO107" s="136" t="e">
        <f t="shared" si="175"/>
        <v>#N/A</v>
      </c>
      <c r="BP107" s="78">
        <f t="shared" ref="BP107:BP109" si="176">IFERROR(IF(AND(COUNTIF($J$87:$J$90,"")=0,BN107=BO107),6,0),0)</f>
        <v>0</v>
      </c>
    </row>
    <row r="108" spans="2:68" ht="14.25" customHeight="1" x14ac:dyDescent="0.25">
      <c r="BL108" s="79" t="str">
        <f>F94</f>
        <v>Kroatien</v>
      </c>
      <c r="BM108" s="45" t="str">
        <f>'Resultat &amp; tabell'!F94</f>
        <v>Vinnare match 58</v>
      </c>
      <c r="BN108" s="125" t="e">
        <f>VLOOKUP(BL108,$BM$106:$BM$109,1,FALSE)</f>
        <v>#N/A</v>
      </c>
      <c r="BO108" s="136" t="e">
        <f t="shared" si="175"/>
        <v>#N/A</v>
      </c>
      <c r="BP108" s="78">
        <f t="shared" si="176"/>
        <v>0</v>
      </c>
    </row>
    <row r="109" spans="2:68" ht="14.25" customHeight="1" x14ac:dyDescent="0.25">
      <c r="BL109" s="79" t="str">
        <f>F95</f>
        <v>Kamerun</v>
      </c>
      <c r="BM109" s="45" t="str">
        <f>'Resultat &amp; tabell'!F95</f>
        <v>Vinnare match 60</v>
      </c>
      <c r="BN109" s="125" t="e">
        <f>VLOOKUP(BL109,$BM$106:$BM$109,1,FALSE)</f>
        <v>#N/A</v>
      </c>
      <c r="BO109" s="136" t="e">
        <f t="shared" si="175"/>
        <v>#N/A</v>
      </c>
      <c r="BP109" s="78">
        <f t="shared" si="176"/>
        <v>0</v>
      </c>
    </row>
    <row r="110" spans="2:68" ht="14.25" customHeight="1" x14ac:dyDescent="0.25">
      <c r="BL110" s="79"/>
      <c r="BM110" s="45"/>
      <c r="BN110" s="125"/>
      <c r="BO110" s="6" t="s">
        <v>93</v>
      </c>
      <c r="BP110" s="110">
        <f>SUM(BP106:BP109)</f>
        <v>0</v>
      </c>
    </row>
    <row r="111" spans="2:68" ht="14.25" customHeight="1" x14ac:dyDescent="0.25">
      <c r="BL111" s="126" t="s">
        <v>45</v>
      </c>
      <c r="BM111" s="127"/>
      <c r="BN111" s="128"/>
      <c r="BO111" s="129"/>
      <c r="BP111" s="129"/>
    </row>
    <row r="112" spans="2:68" ht="14.25" customHeight="1" x14ac:dyDescent="0.25">
      <c r="BL112" s="1" t="s">
        <v>90</v>
      </c>
      <c r="BM112" s="74" t="s">
        <v>89</v>
      </c>
      <c r="BN112" s="74" t="s">
        <v>91</v>
      </c>
      <c r="BO112" s="74" t="s">
        <v>92</v>
      </c>
      <c r="BP112" s="74" t="s">
        <v>75</v>
      </c>
    </row>
    <row r="113" spans="64:68" ht="14.25" customHeight="1" x14ac:dyDescent="0.25">
      <c r="BL113" s="79" t="str">
        <f>D99</f>
        <v>Kroatien</v>
      </c>
      <c r="BM113" s="45" t="str">
        <f>'Resultat &amp; tabell'!D99</f>
        <v>Förlorare match 61</v>
      </c>
      <c r="BN113" s="125" t="e">
        <f>VLOOKUP(BL113,$BM$113:$BM$114,1,FALSE)</f>
        <v>#N/A</v>
      </c>
      <c r="BO113" s="136" t="e">
        <f t="shared" ref="BO113:BO114" si="177">BN113</f>
        <v>#N/A</v>
      </c>
      <c r="BP113" s="78">
        <f>IFERROR(IF(AND(COUNTIF($J$94:$J$95,"")=0,BN113=BO113),8,0),0)</f>
        <v>0</v>
      </c>
    </row>
    <row r="114" spans="64:68" ht="14.25" customHeight="1" x14ac:dyDescent="0.25">
      <c r="BL114" s="79" t="str">
        <f>F99</f>
        <v>England</v>
      </c>
      <c r="BM114" s="45" t="str">
        <f>'Resultat &amp; tabell'!F99</f>
        <v>Förlorare match 62</v>
      </c>
      <c r="BN114" s="125" t="e">
        <f>VLOOKUP(BL114,$BM$113:$BM$114,1,FALSE)</f>
        <v>#N/A</v>
      </c>
      <c r="BO114" s="136" t="e">
        <f t="shared" si="177"/>
        <v>#N/A</v>
      </c>
      <c r="BP114" s="78">
        <f>IFERROR(IF(AND(COUNTIF($J$94:$J$95,"")=0,BN114=BO114),8,0),0)</f>
        <v>0</v>
      </c>
    </row>
    <row r="115" spans="64:68" ht="14.25" customHeight="1" x14ac:dyDescent="0.25">
      <c r="BL115" s="79"/>
      <c r="BM115" s="45"/>
      <c r="BN115" s="125"/>
      <c r="BO115" s="6" t="s">
        <v>93</v>
      </c>
      <c r="BP115" s="110">
        <f>SUM(BP113:BP114)</f>
        <v>0</v>
      </c>
    </row>
    <row r="116" spans="64:68" ht="14.25" customHeight="1" x14ac:dyDescent="0.25">
      <c r="BL116" s="126" t="s">
        <v>49</v>
      </c>
      <c r="BM116" s="127"/>
      <c r="BN116" s="128"/>
      <c r="BO116" s="129"/>
      <c r="BP116" s="129"/>
    </row>
    <row r="117" spans="64:68" ht="14.25" customHeight="1" x14ac:dyDescent="0.25">
      <c r="BL117" s="1" t="s">
        <v>90</v>
      </c>
      <c r="BM117" s="74" t="s">
        <v>89</v>
      </c>
      <c r="BN117" s="74" t="s">
        <v>91</v>
      </c>
      <c r="BO117" s="74" t="s">
        <v>92</v>
      </c>
      <c r="BP117" s="74" t="s">
        <v>75</v>
      </c>
    </row>
    <row r="118" spans="64:68" ht="14.25" customHeight="1" x14ac:dyDescent="0.25">
      <c r="BL118" s="79" t="str">
        <f>D103</f>
        <v>Qatar</v>
      </c>
      <c r="BM118" s="45" t="str">
        <f>'Resultat &amp; tabell'!D103</f>
        <v>Vinnare match 61</v>
      </c>
      <c r="BN118" s="125" t="e">
        <f>VLOOKUP(BL118,$BM$118:$BM$119,1,FALSE)</f>
        <v>#N/A</v>
      </c>
      <c r="BO118" s="136" t="e">
        <f t="shared" ref="BO118:BO119" si="178">BN118</f>
        <v>#N/A</v>
      </c>
      <c r="BP118" s="78">
        <f>IFERROR(IF(AND(COUNTIF($J$94:$J$95,"")=0,BN118=BO118),8,0),0)</f>
        <v>0</v>
      </c>
    </row>
    <row r="119" spans="64:68" ht="14.25" customHeight="1" x14ac:dyDescent="0.25">
      <c r="BL119" s="79" t="str">
        <f>F103</f>
        <v>Kamerun</v>
      </c>
      <c r="BM119" s="45" t="str">
        <f>'Resultat &amp; tabell'!F103</f>
        <v>Vinnare match 62</v>
      </c>
      <c r="BN119" s="125" t="e">
        <f>VLOOKUP(BL119,$BM$118:$BM$119,1,FALSE)</f>
        <v>#N/A</v>
      </c>
      <c r="BO119" s="136" t="e">
        <f t="shared" si="178"/>
        <v>#N/A</v>
      </c>
      <c r="BP119" s="78">
        <f>IFERROR(IF(AND(COUNTIF($J$94:$J$95,"")=0,BN119=BO119),8,0),0)</f>
        <v>0</v>
      </c>
    </row>
    <row r="120" spans="64:68" ht="14.25" customHeight="1" x14ac:dyDescent="0.25">
      <c r="BL120" s="79"/>
      <c r="BM120" s="45"/>
      <c r="BN120" s="125"/>
      <c r="BO120" s="6" t="s">
        <v>93</v>
      </c>
      <c r="BP120" s="110">
        <f>SUM(BP118:BP119)</f>
        <v>0</v>
      </c>
    </row>
  </sheetData>
  <sheetProtection algorithmName="SHA-512" hashValue="drdCsF+o0aL32rela3mDQn3NW0uPyUjSjGMUm3Ni9gG7maafJszpOWfZ+y1L50avVOAqYuL9H35fO0Y029NLaA==" saltValue="LkOpVJnOt3KtgD6Ds+TuFQ==" spinCount="100000" sheet="1" objects="1" scenarios="1"/>
  <dataConsolidate/>
  <mergeCells count="52">
    <mergeCell ref="P99:S99"/>
    <mergeCell ref="D102:F102"/>
    <mergeCell ref="G102:I102"/>
    <mergeCell ref="P102:S102"/>
    <mergeCell ref="P103:S103"/>
    <mergeCell ref="P87:S87"/>
    <mergeCell ref="D93:F93"/>
    <mergeCell ref="G93:I93"/>
    <mergeCell ref="P93:S93"/>
    <mergeCell ref="P94:S94"/>
    <mergeCell ref="D98:F98"/>
    <mergeCell ref="G98:I98"/>
    <mergeCell ref="P98:S98"/>
    <mergeCell ref="D75:F75"/>
    <mergeCell ref="G75:I75"/>
    <mergeCell ref="P75:S75"/>
    <mergeCell ref="P76:S76"/>
    <mergeCell ref="D86:F86"/>
    <mergeCell ref="G86:I86"/>
    <mergeCell ref="P86:S86"/>
    <mergeCell ref="D57:F57"/>
    <mergeCell ref="G57:I57"/>
    <mergeCell ref="BE57:BG57"/>
    <mergeCell ref="D66:F66"/>
    <mergeCell ref="G66:I66"/>
    <mergeCell ref="BE66:BG66"/>
    <mergeCell ref="D39:F39"/>
    <mergeCell ref="G39:I39"/>
    <mergeCell ref="BE39:BG39"/>
    <mergeCell ref="D48:F48"/>
    <mergeCell ref="G48:I48"/>
    <mergeCell ref="BE48:BG48"/>
    <mergeCell ref="D21:F21"/>
    <mergeCell ref="G21:I21"/>
    <mergeCell ref="BB21:BD21"/>
    <mergeCell ref="BE21:BG21"/>
    <mergeCell ref="D30:F30"/>
    <mergeCell ref="G30:I30"/>
    <mergeCell ref="BB30:BD30"/>
    <mergeCell ref="BE30:BG30"/>
    <mergeCell ref="T5:W5"/>
    <mergeCell ref="T6:W6"/>
    <mergeCell ref="D12:F12"/>
    <mergeCell ref="G12:I12"/>
    <mergeCell ref="BB12:BD12"/>
    <mergeCell ref="BE12:BG12"/>
    <mergeCell ref="D3:F3"/>
    <mergeCell ref="G3:I3"/>
    <mergeCell ref="T3:W3"/>
    <mergeCell ref="BB3:BD3"/>
    <mergeCell ref="BE3:BG3"/>
    <mergeCell ref="T4:W4"/>
  </mergeCells>
  <conditionalFormatting sqref="N76:N83 N87:N90 N94:N95">
    <cfRule type="containsText" dxfId="2" priority="3" operator="containsText" text="Ej OK">
      <formula>NOT(ISERROR(SEARCH("Ej OK",N76)))</formula>
    </cfRule>
  </conditionalFormatting>
  <conditionalFormatting sqref="N99">
    <cfRule type="containsText" dxfId="1" priority="2" operator="containsText" text="Ej OK">
      <formula>NOT(ISERROR(SEARCH("Ej OK",N99)))</formula>
    </cfRule>
  </conditionalFormatting>
  <conditionalFormatting sqref="N103">
    <cfRule type="containsText" dxfId="0" priority="1" operator="containsText" text="Ej OK">
      <formula>NOT(ISERROR(SEARCH("Ej OK",N103)))</formula>
    </cfRule>
  </conditionalFormatting>
  <dataValidations count="1">
    <dataValidation type="list" allowBlank="1" showInputMessage="1" showErrorMessage="1" sqref="M76:M83 M87:M90 M94:M95 M99 M103" xr:uid="{A8ACB58E-4CD6-4846-BAB3-425373DE5DD1}">
      <formula1>D76:F76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Poäng &amp; instruktioner</vt:lpstr>
      <vt:lpstr>Resultat &amp; tabell</vt:lpstr>
      <vt:lpstr>Mitt tips</vt:lpstr>
      <vt:lpstr>Exempel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</dc:creator>
  <cp:lastModifiedBy>Emir Mulahusic</cp:lastModifiedBy>
  <dcterms:created xsi:type="dcterms:W3CDTF">2014-01-14T21:52:10Z</dcterms:created>
  <dcterms:modified xsi:type="dcterms:W3CDTF">2022-11-16T11:05:28Z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d312a35-861d-4b85-a93e-f5f8e8fa638c_Enabled">
    <vt:lpwstr>true</vt:lpwstr>
  </property>
  <property fmtid="{D5CDD505-2E9C-101B-9397-08002B2CF9AE}" pid="3" name="MSIP_Label_ad312a35-861d-4b85-a93e-f5f8e8fa638c_SetDate">
    <vt:lpwstr>2022-09-11T12:17:33Z</vt:lpwstr>
  </property>
  <property fmtid="{D5CDD505-2E9C-101B-9397-08002B2CF9AE}" pid="4" name="MSIP_Label_ad312a35-861d-4b85-a93e-f5f8e8fa638c_Method">
    <vt:lpwstr>Privileged</vt:lpwstr>
  </property>
  <property fmtid="{D5CDD505-2E9C-101B-9397-08002B2CF9AE}" pid="5" name="MSIP_Label_ad312a35-861d-4b85-a93e-f5f8e8fa638c_Name">
    <vt:lpwstr>Public (i1)</vt:lpwstr>
  </property>
  <property fmtid="{D5CDD505-2E9C-101B-9397-08002B2CF9AE}" pid="6" name="MSIP_Label_ad312a35-861d-4b85-a93e-f5f8e8fa638c_SiteId">
    <vt:lpwstr>e11cbe9c-f680-44b9-9d42-d705f740b888</vt:lpwstr>
  </property>
  <property fmtid="{D5CDD505-2E9C-101B-9397-08002B2CF9AE}" pid="7" name="MSIP_Label_ad312a35-861d-4b85-a93e-f5f8e8fa638c_ActionId">
    <vt:lpwstr>6df17308-391f-49d0-8f30-8f41d4df8f46</vt:lpwstr>
  </property>
  <property fmtid="{D5CDD505-2E9C-101B-9397-08002B2CF9AE}" pid="8" name="MSIP_Label_ad312a35-861d-4b85-a93e-f5f8e8fa638c_ContentBits">
    <vt:lpwstr>0</vt:lpwstr>
  </property>
</Properties>
</file>