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<sst xmlns="http://schemas.openxmlformats.org/spreadsheetml/2006/main" count="400" uniqueCount="90">
  <si>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</si>
  <si>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</si>
  <si>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</si>
  <si>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</si>
  <si>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</si>
  <si>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</si>
  <si>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</si>
  <si>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</si>
  <si>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</si>
  <si>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</si>
  <si>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</si>
  <si>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</si>
  <si>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</si>
  <si>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</si>
  <si>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</si>
  <si>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</si>
  <si>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</si>
  <si>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</si>
  <si>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</si>
  <si>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</si>
  <si>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</si>
  <si>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</si>
  <si>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</si>
  <si>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</si>
  <si>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</si>
  <si>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</si>
  <si>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</si>
  <si>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</si>
  <si>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</si>
  <si>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</si>
  <si>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</si>
  <si>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</si>
  <si>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</si>
  <si>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</si>
  <si>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</si>
  <si>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</si>
  <si>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</si>
  <si>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</si>
  <si>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</si>
  <si>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</si>
  <si>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</si>
  <si>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</si>
  <si>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</si>
  <si>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</si>
  <si>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</si>
  <si>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</si>
  <si>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</si>
  <si>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</si>
  <si>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</si>
  <si>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</si>
  <si>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</si>
  <si>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</si>
  <si>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</si>
  <si>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</si>
  <si>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</si>
  <si>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</si>
  <si>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</si>
  <si>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</si>
  <si>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</si>
  <si>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</si>
  <si>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</si>
  <si>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</si>
  <si>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</si>
  <si>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</si>
  <si>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</si>
  <si>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</si>
  <si>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</si>
  <si>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</si>
  <si>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</si>
  <si>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</si>
  <si>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</si>
  <si>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</si>
  <si>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</si>
  <si>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</si>
  <si>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</si>
  <si>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</si>
  <si>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</si>
  <si>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</si>
  <si>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Kågeröds Boif</t>
  </si>
  <si>
    <t>Svalövs BK 1</t>
  </si>
  <si>
    <t>Svalövs BK 2</t>
  </si>
  <si>
    <t>Furulunds IK</t>
  </si>
  <si>
    <t>BK Landora</t>
  </si>
  <si>
    <t>Kågeröds BoIF</t>
  </si>
  <si>
    <t>Kullavägen</t>
  </si>
  <si>
    <t>Borstahusens BK</t>
  </si>
  <si>
    <t>Vakant</t>
  </si>
  <si>
    <t>x</t>
  </si>
  <si>
    <t/>
  </si>
  <si>
    <t>Hugo Wickenberg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</si>
</sst>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9" borderId="3" applyNumberFormat="0" applyAlignment="0" applyProtection="0"/>
    <xf numFmtId="0" fontId="9" fillId="0" borderId="4" applyNumberFormat="0" applyFill="0" applyAlignment="0" applyProtection="0"/>
    <xf numFmtId="0" fontId="10" fillId="30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30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31" borderId="0" xfId="0" applyFont="1" applyFill="1" applyBorder="1" applyAlignment="1" applyProtection="1">
      <alignment horizontal="center" vertical="top" wrapText="1"/>
      <protection/>
    </xf>
    <xf numFmtId="0" fontId="26" fillId="32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Dåligt" xfId="43"/>
    <cellStyle name="Färg1" xfId="44"/>
    <cellStyle name="Färg2" xfId="45"/>
    <cellStyle name="Färg3" xfId="46"/>
    <cellStyle name="Färg4" xfId="47"/>
    <cellStyle name="Färg5" xfId="48"/>
    <cellStyle name="Färg6" xfId="49"/>
    <cellStyle name="Förklarande text" xfId="50"/>
    <cellStyle name="Indata" xfId="51"/>
    <cellStyle name="Kontrollcell" xfId="52"/>
    <cellStyle name="Länkad cell" xfId="53"/>
    <cellStyle name="Neutral" xfId="54"/>
    <cellStyle name="Percent" xfId="55"/>
    <cellStyle name="Rubrik" xfId="56"/>
    <cellStyle name="Rubrik 1" xfId="57"/>
    <cellStyle name="Rubrik 1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3.25">
      <c r="A7" s="1" t="s">
        <v>8</v>
      </c>
      <c r="B7" s="4" t="s">
        <v>5</v>
      </c>
    </row>
    <row r="8" spans="1:2" ht="23.25">
      <c r="A8" s="1" t="s">
        <v>9</v>
      </c>
      <c r="B8" s="3">
        <v>0.5625</v>
      </c>
    </row>
    <row r="9" spans="1:2" ht="45" customHeight="1">
      <c r="A9" s="120" t="s">
        <v>10</v>
      </c>
      <c r="B9" s="120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Svalövs BK 1</v>
      </c>
      <c r="F2" s="38">
        <f>IF(Originalschema!G2&gt;0,Originalschema!G2,"")</f>
      </c>
      <c r="G2" s="29" t="str">
        <f>IF(Originalschema!H2&gt;0,Originalschema!H2,"")</f>
        <v>Svalövs BK 2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Furulunds IK</v>
      </c>
      <c r="F3" s="38">
        <f>IF(Originalschema!G3&gt;0,Originalschema!G3,"")</f>
      </c>
      <c r="G3" s="29" t="str">
        <f>IF(Originalschema!H3&gt;0,Originalschema!H3,"")</f>
        <v>Kullavägen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BK Landora</v>
      </c>
      <c r="F4" s="38">
        <f>IF(Originalschema!G4&gt;0,Originalschema!G4,"")</f>
      </c>
      <c r="G4" s="29" t="str">
        <f>IF(Originalschema!H4&gt;0,Originalschema!H4,"")</f>
        <v>Kyrkheddinge IF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Kågeröds BoIF</v>
      </c>
      <c r="F5" s="38">
        <f>IF(Originalschema!G5&gt;0,Originalschema!G5,"")</f>
      </c>
      <c r="G5" s="29" t="str">
        <f>IF(Originalschema!H5&gt;0,Originalschema!H5,"")</f>
        <v>Borstahusens BK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Vakant</v>
      </c>
      <c r="F6" s="38">
        <f>IF(Originalschema!G6&gt;0,Originalschema!G6,"")</f>
      </c>
      <c r="G6" s="29" t="str">
        <f>IF(Originalschema!H6&gt;0,Originalschema!H6,"")</f>
        <v>Vakant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Svalövs BK 1</v>
      </c>
      <c r="M9" s="39" t="str">
        <f>IF(Originalschema!N9&gt;0,Originalschema!N9,"")</f>
        <v>Furulunds IK</v>
      </c>
      <c r="N9" s="39" t="str">
        <f>IF(Originalschema!O9&gt;0,Originalschema!O9,"")</f>
        <v>BK Landora</v>
      </c>
      <c r="O9" s="39" t="str">
        <f>IF(Originalschema!P9&gt;0,Originalschema!P9,"")</f>
        <v>Kågeröds BoIF</v>
      </c>
      <c r="P9" s="39" t="str">
        <f>IF(Originalschema!Q9&gt;0,Originalschema!Q9,"")</f>
        <v>Vakant</v>
      </c>
      <c r="Q9" s="39" t="str">
        <f>IF(Originalschema!T9&gt;0,Originalschema!T9,"")</f>
        <v>Svalövs BK 2</v>
      </c>
      <c r="R9" s="39" t="str">
        <f>IF(Originalschema!U9&gt;0,Originalschema!U9,"")</f>
        <v>Kullavägen</v>
      </c>
      <c r="S9" s="39" t="str">
        <f>IF(Originalschema!V9&gt;0,Originalschema!V9,"")</f>
        <v>Kyrkheddinge IF</v>
      </c>
      <c r="T9" s="39" t="str">
        <f>IF(Originalschema!W9&gt;0,Originalschema!W9,"")</f>
        <v>Borstahusens BK</v>
      </c>
      <c r="U9" s="39" t="str">
        <f>IF(Originalschema!X9&gt;0,Originalschema!X9,"")</f>
        <v>Vakant</v>
      </c>
      <c r="V9" s="39" t="str">
        <f>IF(Originalschema!Y9&gt;0,Originalschema!Y9,"")</f>
        <v>Svalövs BK 1</v>
      </c>
      <c r="W9" s="39" t="str">
        <f>IF(Originalschema!Z9&gt;0,Originalschema!Z9,"")</f>
        <v>Furulunds IK</v>
      </c>
      <c r="X9" s="39" t="str">
        <f>IF(Originalschema!AA9&gt;0,Originalschema!AA9,"")</f>
        <v>BK Landora</v>
      </c>
      <c r="Y9" s="39" t="str">
        <f>IF(Originalschema!AB9&gt;0,Originalschema!AB9,"")</f>
        <v>Kågeröds BoIF</v>
      </c>
      <c r="Z9" s="39" t="str">
        <f>IF(Originalschema!AC9&gt;0,Originalschema!AC9,"")</f>
        <v>Vakant</v>
      </c>
      <c r="AA9" s="39" t="str">
        <f>IF(Originalschema!AF9&gt;0,Originalschema!AF9,"")</f>
        <v>Svalövs BK 2</v>
      </c>
      <c r="AB9" s="39" t="str">
        <f>IF(Originalschema!AG9&gt;0,Originalschema!AG9,"")</f>
        <v>Kullavägen</v>
      </c>
      <c r="AC9" s="39" t="str">
        <f>IF(Originalschema!AH9&gt;0,Originalschema!AH9,"")</f>
        <v>Kyrkheddinge IF</v>
      </c>
      <c r="AD9" s="39" t="str">
        <f>IF(Originalschema!AI9&gt;0,Originalschema!AI9,"")</f>
        <v>Borstahusens BK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Svalövs BK 1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Furulunds IK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BK Landora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Kågeröds BoIF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Svalövs BK 2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Kullavägen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Kyrkheddinge IF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Borstahusens BK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6</v>
      </c>
      <c r="B15" s="50"/>
      <c r="D15" s="50"/>
      <c r="E15" s="28" t="str">
        <f>IF(OR(Originalschema!F16="vakant",Originalschema!H16="vakant"),Originalschema!F17,Originalschema!F16)</f>
        <v>Furulunds IK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BK Landora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6</v>
      </c>
      <c r="AF15" s="47">
        <f t="shared" si="2"/>
        <v>6</v>
      </c>
      <c r="AG15" s="47">
        <f t="shared" si="3"/>
        <v>6</v>
      </c>
      <c r="AH15" s="47">
        <f t="shared" si="4"/>
        <v>6</v>
      </c>
      <c r="AI15" s="47">
        <f t="shared" si="5"/>
        <v>6</v>
      </c>
      <c r="AJ15" s="47">
        <f t="shared" si="6"/>
        <v>6</v>
      </c>
      <c r="AK15" s="47">
        <f t="shared" si="7"/>
        <v>6</v>
      </c>
      <c r="AL15" s="47">
        <f t="shared" si="8"/>
        <v>6</v>
      </c>
      <c r="AM15" s="47">
        <f t="shared" si="9"/>
        <v>6</v>
      </c>
      <c r="AN15" s="47">
        <f t="shared" si="10"/>
        <v>6</v>
      </c>
      <c r="AO15" s="47">
        <f t="shared" si="11"/>
        <v>6</v>
      </c>
      <c r="AP15" s="47">
        <f t="shared" si="12"/>
        <v>6</v>
      </c>
      <c r="AQ15" s="47">
        <f t="shared" si="13"/>
        <v>6</v>
      </c>
      <c r="AR15" s="47">
        <f t="shared" si="14"/>
        <v>6</v>
      </c>
      <c r="AS15" s="47">
        <f t="shared" si="15"/>
        <v>6</v>
      </c>
      <c r="AT15" s="47">
        <f t="shared" si="16"/>
        <v>6</v>
      </c>
      <c r="AU15" s="47">
        <f t="shared" si="17"/>
        <v>6</v>
      </c>
      <c r="AV15" s="47">
        <f t="shared" si="18"/>
        <v>6</v>
      </c>
      <c r="AW15" s="47">
        <f t="shared" si="19"/>
        <v>6</v>
      </c>
      <c r="AX15" s="47">
        <f t="shared" si="20"/>
        <v>6</v>
      </c>
      <c r="AY15" s="47">
        <f t="shared" si="21"/>
        <v>6</v>
      </c>
      <c r="AZ15" s="47">
        <f t="shared" si="22"/>
        <v>6</v>
      </c>
      <c r="BA15" s="47">
        <f t="shared" si="23"/>
        <v>6</v>
      </c>
      <c r="BB15" s="47">
        <f t="shared" si="24"/>
        <v>6</v>
      </c>
      <c r="BC15" s="47">
        <f t="shared" si="25"/>
        <v>6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Furulunds IK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BK Landora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8</v>
      </c>
      <c r="AF16" s="47">
        <f t="shared" si="2"/>
        <v>8</v>
      </c>
      <c r="AG16" s="47">
        <f t="shared" si="3"/>
        <v>8</v>
      </c>
      <c r="AH16" s="47">
        <f t="shared" si="4"/>
        <v>8</v>
      </c>
      <c r="AI16" s="47">
        <f t="shared" si="5"/>
        <v>8</v>
      </c>
      <c r="AJ16" s="47">
        <f t="shared" si="6"/>
        <v>8</v>
      </c>
      <c r="AK16" s="47">
        <f t="shared" si="7"/>
        <v>8</v>
      </c>
      <c r="AL16" s="47">
        <f t="shared" si="8"/>
        <v>8</v>
      </c>
      <c r="AM16" s="47">
        <f t="shared" si="9"/>
        <v>8</v>
      </c>
      <c r="AN16" s="47">
        <f t="shared" si="10"/>
        <v>8</v>
      </c>
      <c r="AO16" s="47">
        <f t="shared" si="11"/>
        <v>8</v>
      </c>
      <c r="AP16" s="47">
        <f t="shared" si="12"/>
        <v>8</v>
      </c>
      <c r="AQ16" s="47">
        <f t="shared" si="13"/>
        <v>8</v>
      </c>
      <c r="AR16" s="47">
        <f t="shared" si="14"/>
        <v>8</v>
      </c>
      <c r="AS16" s="47">
        <f t="shared" si="15"/>
        <v>8</v>
      </c>
      <c r="AT16" s="47">
        <f t="shared" si="16"/>
        <v>8</v>
      </c>
      <c r="AU16" s="47">
        <f t="shared" si="17"/>
        <v>8</v>
      </c>
      <c r="AV16" s="47">
        <f t="shared" si="18"/>
        <v>8</v>
      </c>
      <c r="AW16" s="47">
        <f t="shared" si="19"/>
        <v>8</v>
      </c>
      <c r="AX16" s="47">
        <f t="shared" si="20"/>
        <v>8</v>
      </c>
      <c r="AY16" s="47">
        <f t="shared" si="21"/>
        <v>8</v>
      </c>
      <c r="AZ16" s="47">
        <f t="shared" si="22"/>
        <v>8</v>
      </c>
      <c r="BA16" s="47">
        <f t="shared" si="23"/>
        <v>8</v>
      </c>
      <c r="BB16" s="47">
        <f t="shared" si="24"/>
        <v>8</v>
      </c>
      <c r="BC16" s="47">
        <f t="shared" si="25"/>
        <v>8</v>
      </c>
    </row>
    <row r="17" spans="1:55" ht="18">
      <c r="A17" s="48">
        <f>IF((OR(Originalschema!F18="vakant",Originalschema!H18="vakant")),Originalschema!A19,Originalschema!A18)</f>
        <v>8</v>
      </c>
      <c r="B17" s="50"/>
      <c r="D17" s="50"/>
      <c r="E17" s="28" t="str">
        <f>IF(OR(Originalschema!F18="vakant",Originalschema!H18="vakant"),Originalschema!F19,Originalschema!F18)</f>
        <v>Kullavägen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Kyrkheddinge IF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8</v>
      </c>
      <c r="AF17" s="47">
        <f t="shared" si="2"/>
        <v>0</v>
      </c>
      <c r="AG17" s="47">
        <f t="shared" si="3"/>
        <v>0</v>
      </c>
      <c r="AH17" s="47">
        <f t="shared" si="4"/>
        <v>0</v>
      </c>
      <c r="AI17" s="47">
        <f t="shared" si="5"/>
        <v>0</v>
      </c>
      <c r="AJ17" s="47">
        <f t="shared" si="6"/>
        <v>0</v>
      </c>
      <c r="AK17" s="47">
        <f t="shared" si="7"/>
        <v>0</v>
      </c>
      <c r="AL17" s="47">
        <f t="shared" si="8"/>
        <v>0</v>
      </c>
      <c r="AM17" s="47">
        <f t="shared" si="9"/>
        <v>0</v>
      </c>
      <c r="AN17" s="47">
        <f t="shared" si="10"/>
        <v>0</v>
      </c>
      <c r="AO17" s="47">
        <f t="shared" si="11"/>
        <v>0</v>
      </c>
      <c r="AP17" s="47">
        <f t="shared" si="12"/>
        <v>0</v>
      </c>
      <c r="AQ17" s="47">
        <f t="shared" si="13"/>
        <v>0</v>
      </c>
      <c r="AR17" s="47">
        <f t="shared" si="14"/>
        <v>0</v>
      </c>
      <c r="AS17" s="47">
        <f t="shared" si="15"/>
        <v>0</v>
      </c>
      <c r="AT17" s="47">
        <f t="shared" si="16"/>
        <v>0</v>
      </c>
      <c r="AU17" s="47">
        <f t="shared" si="17"/>
        <v>0</v>
      </c>
      <c r="AV17" s="47">
        <f t="shared" si="18"/>
        <v>0</v>
      </c>
      <c r="AW17" s="47">
        <f t="shared" si="19"/>
        <v>0</v>
      </c>
      <c r="AX17" s="47">
        <f t="shared" si="20"/>
        <v>0</v>
      </c>
      <c r="AY17" s="47">
        <f t="shared" si="21"/>
        <v>0</v>
      </c>
      <c r="AZ17" s="47">
        <f t="shared" si="22"/>
        <v>0</v>
      </c>
      <c r="BA17" s="47">
        <f t="shared" si="23"/>
        <v>0</v>
      </c>
      <c r="BB17" s="47">
        <f t="shared" si="24"/>
        <v>0</v>
      </c>
      <c r="BC17" s="47">
        <f t="shared" si="25"/>
        <v>0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Kullavägen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Kyrkheddinge IF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0</v>
      </c>
      <c r="AF18" s="47">
        <f t="shared" si="2"/>
        <v>0</v>
      </c>
      <c r="AG18" s="47">
        <f t="shared" si="3"/>
        <v>10</v>
      </c>
      <c r="AH18" s="47">
        <f t="shared" si="4"/>
        <v>10</v>
      </c>
      <c r="AI18" s="47">
        <f t="shared" si="5"/>
        <v>10</v>
      </c>
      <c r="AJ18" s="47">
        <f t="shared" si="6"/>
        <v>10</v>
      </c>
      <c r="AK18" s="47">
        <f t="shared" si="7"/>
        <v>10</v>
      </c>
      <c r="AL18" s="47">
        <f t="shared" si="8"/>
        <v>10</v>
      </c>
      <c r="AM18" s="47">
        <f t="shared" si="9"/>
        <v>10</v>
      </c>
      <c r="AN18" s="47">
        <f t="shared" si="10"/>
        <v>10</v>
      </c>
      <c r="AO18" s="47">
        <f t="shared" si="11"/>
        <v>10</v>
      </c>
      <c r="AP18" s="47">
        <f t="shared" si="12"/>
        <v>10</v>
      </c>
      <c r="AQ18" s="47">
        <f t="shared" si="13"/>
        <v>10</v>
      </c>
      <c r="AR18" s="47">
        <f t="shared" si="14"/>
        <v>10</v>
      </c>
      <c r="AS18" s="47">
        <f t="shared" si="15"/>
        <v>10</v>
      </c>
      <c r="AT18" s="47">
        <f t="shared" si="16"/>
        <v>10</v>
      </c>
      <c r="AU18" s="47">
        <f t="shared" si="17"/>
        <v>10</v>
      </c>
      <c r="AV18" s="47">
        <f t="shared" si="18"/>
        <v>10</v>
      </c>
      <c r="AW18" s="47">
        <f t="shared" si="19"/>
        <v>10</v>
      </c>
      <c r="AX18" s="47">
        <f t="shared" si="20"/>
        <v>10</v>
      </c>
      <c r="AY18" s="47">
        <f t="shared" si="21"/>
        <v>10</v>
      </c>
      <c r="AZ18" s="47">
        <f t="shared" si="22"/>
        <v>10</v>
      </c>
      <c r="BA18" s="47">
        <f t="shared" si="23"/>
        <v>10</v>
      </c>
      <c r="BB18" s="47">
        <f t="shared" si="24"/>
        <v>10</v>
      </c>
      <c r="BC18" s="47">
        <f t="shared" si="25"/>
        <v>10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10</v>
      </c>
      <c r="AG19" s="47">
        <f t="shared" si="3"/>
        <v>10</v>
      </c>
      <c r="AH19" s="47">
        <f t="shared" si="4"/>
        <v>12</v>
      </c>
      <c r="AI19" s="47">
        <f t="shared" si="5"/>
        <v>12</v>
      </c>
      <c r="AJ19" s="47">
        <f t="shared" si="6"/>
        <v>12</v>
      </c>
      <c r="AK19" s="47">
        <f t="shared" si="7"/>
        <v>12</v>
      </c>
      <c r="AL19" s="47">
        <f t="shared" si="8"/>
        <v>12</v>
      </c>
      <c r="AM19" s="47">
        <f t="shared" si="9"/>
        <v>12</v>
      </c>
      <c r="AN19" s="47">
        <f t="shared" si="10"/>
        <v>12</v>
      </c>
      <c r="AO19" s="47">
        <f t="shared" si="11"/>
        <v>12</v>
      </c>
      <c r="AP19" s="47">
        <f t="shared" si="12"/>
        <v>12</v>
      </c>
      <c r="AQ19" s="47">
        <f t="shared" si="13"/>
        <v>12</v>
      </c>
      <c r="AR19" s="47">
        <f t="shared" si="14"/>
        <v>12</v>
      </c>
      <c r="AS19" s="47">
        <f t="shared" si="15"/>
        <v>12</v>
      </c>
      <c r="AT19" s="47">
        <f t="shared" si="16"/>
        <v>12</v>
      </c>
      <c r="AU19" s="47">
        <f t="shared" si="17"/>
        <v>12</v>
      </c>
      <c r="AV19" s="47">
        <f t="shared" si="18"/>
        <v>12</v>
      </c>
      <c r="AW19" s="47">
        <f t="shared" si="19"/>
        <v>12</v>
      </c>
      <c r="AX19" s="47">
        <f t="shared" si="20"/>
        <v>12</v>
      </c>
      <c r="AY19" s="47">
        <f t="shared" si="21"/>
        <v>12</v>
      </c>
      <c r="AZ19" s="47">
        <f t="shared" si="22"/>
        <v>12</v>
      </c>
      <c r="BA19" s="47">
        <f t="shared" si="23"/>
        <v>12</v>
      </c>
      <c r="BB19" s="47">
        <f t="shared" si="24"/>
        <v>12</v>
      </c>
      <c r="BC19" s="47">
        <f t="shared" si="25"/>
        <v>12</v>
      </c>
    </row>
    <row r="20" spans="1:55" ht="18">
      <c r="A20" s="48">
        <f>IF((OR(Originalschema!F21="vakant",Originalschema!H21="vakant")),Originalschema!A22,Originalschema!A21)</f>
        <v>10</v>
      </c>
      <c r="B20" s="50"/>
      <c r="D20" s="50"/>
      <c r="E20" s="28" t="str">
        <f>IF(OR(Originalschema!F21="vakant",Originalschema!H21="vakant"),Originalschema!F22,Originalschema!F21)</f>
        <v>Svalövs BK 1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BK Landora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10</v>
      </c>
      <c r="AF20" s="47">
        <f t="shared" si="2"/>
        <v>10</v>
      </c>
      <c r="AG20" s="47">
        <f t="shared" si="3"/>
        <v>12</v>
      </c>
      <c r="AH20" s="47">
        <f t="shared" si="4"/>
        <v>12</v>
      </c>
      <c r="AI20" s="47">
        <f t="shared" si="5"/>
        <v>0</v>
      </c>
      <c r="AJ20" s="47">
        <f t="shared" si="6"/>
        <v>0</v>
      </c>
      <c r="AK20" s="47">
        <f t="shared" si="7"/>
        <v>0</v>
      </c>
      <c r="AL20" s="47">
        <f t="shared" si="8"/>
        <v>0</v>
      </c>
      <c r="AM20" s="47">
        <f t="shared" si="9"/>
        <v>0</v>
      </c>
      <c r="AN20" s="47">
        <f t="shared" si="10"/>
        <v>0</v>
      </c>
      <c r="AO20" s="47">
        <f t="shared" si="11"/>
        <v>0</v>
      </c>
      <c r="AP20" s="47">
        <f t="shared" si="12"/>
        <v>0</v>
      </c>
      <c r="AQ20" s="47">
        <f t="shared" si="13"/>
        <v>0</v>
      </c>
      <c r="AR20" s="47">
        <f t="shared" si="14"/>
        <v>0</v>
      </c>
      <c r="AS20" s="47">
        <f t="shared" si="15"/>
        <v>0</v>
      </c>
      <c r="AT20" s="47">
        <f t="shared" si="16"/>
        <v>0</v>
      </c>
      <c r="AU20" s="47">
        <f t="shared" si="17"/>
        <v>0</v>
      </c>
      <c r="AV20" s="47">
        <f t="shared" si="18"/>
        <v>0</v>
      </c>
      <c r="AW20" s="47">
        <f t="shared" si="19"/>
        <v>0</v>
      </c>
      <c r="AX20" s="47">
        <f t="shared" si="20"/>
        <v>0</v>
      </c>
      <c r="AY20" s="47">
        <f t="shared" si="21"/>
        <v>0</v>
      </c>
      <c r="AZ20" s="47">
        <f t="shared" si="22"/>
        <v>0</v>
      </c>
      <c r="BA20" s="47">
        <f t="shared" si="23"/>
        <v>0</v>
      </c>
      <c r="BB20" s="47">
        <f t="shared" si="24"/>
        <v>0</v>
      </c>
      <c r="BC20" s="47">
        <f t="shared" si="25"/>
        <v>0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Svalövs BK 1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BK Landora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12</v>
      </c>
      <c r="AF21" s="47">
        <f t="shared" si="2"/>
        <v>12</v>
      </c>
      <c r="AG21" s="47">
        <f t="shared" si="3"/>
        <v>12</v>
      </c>
      <c r="AH21" s="47">
        <f t="shared" si="4"/>
        <v>0</v>
      </c>
      <c r="AI21" s="47">
        <f t="shared" si="5"/>
        <v>0</v>
      </c>
      <c r="AJ21" s="47">
        <f t="shared" si="6"/>
        <v>14</v>
      </c>
      <c r="AK21" s="47">
        <f t="shared" si="7"/>
        <v>14</v>
      </c>
      <c r="AL21" s="47">
        <f t="shared" si="8"/>
        <v>14</v>
      </c>
      <c r="AM21" s="47">
        <f t="shared" si="9"/>
        <v>14</v>
      </c>
      <c r="AN21" s="47">
        <f t="shared" si="10"/>
        <v>14</v>
      </c>
      <c r="AO21" s="47">
        <f t="shared" si="11"/>
        <v>14</v>
      </c>
      <c r="AP21" s="47">
        <f t="shared" si="12"/>
        <v>14</v>
      </c>
      <c r="AQ21" s="47">
        <f t="shared" si="13"/>
        <v>14</v>
      </c>
      <c r="AR21" s="47">
        <f t="shared" si="14"/>
        <v>14</v>
      </c>
      <c r="AS21" s="47">
        <f t="shared" si="15"/>
        <v>14</v>
      </c>
      <c r="AT21" s="47">
        <f t="shared" si="16"/>
        <v>14</v>
      </c>
      <c r="AU21" s="47">
        <f t="shared" si="17"/>
        <v>14</v>
      </c>
      <c r="AV21" s="47">
        <f t="shared" si="18"/>
        <v>14</v>
      </c>
      <c r="AW21" s="47">
        <f t="shared" si="19"/>
        <v>14</v>
      </c>
      <c r="AX21" s="47">
        <f t="shared" si="20"/>
        <v>14</v>
      </c>
      <c r="AY21" s="47">
        <f t="shared" si="21"/>
        <v>14</v>
      </c>
      <c r="AZ21" s="47">
        <f t="shared" si="22"/>
        <v>14</v>
      </c>
      <c r="BA21" s="47">
        <f t="shared" si="23"/>
        <v>14</v>
      </c>
      <c r="BB21" s="47">
        <f t="shared" si="24"/>
        <v>14</v>
      </c>
      <c r="BC21" s="47">
        <f t="shared" si="25"/>
        <v>14</v>
      </c>
    </row>
    <row r="22" spans="1:55" ht="18">
      <c r="A22" s="48">
        <f>IF((OR(Originalschema!F23="vakant",Originalschema!H23="vakant")),Originalschema!A24,Originalschema!A23)</f>
        <v>12</v>
      </c>
      <c r="B22" s="50"/>
      <c r="D22" s="50"/>
      <c r="E22" s="28" t="str">
        <f>IF(OR(Originalschema!F23="vakant",Originalschema!H23="vakant"),Originalschema!F24,Originalschema!F23)</f>
        <v>Svalövs BK 2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Kyrkheddinge IF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12</v>
      </c>
      <c r="AF22" s="47">
        <f t="shared" si="2"/>
        <v>0</v>
      </c>
      <c r="AG22" s="47">
        <f t="shared" si="3"/>
        <v>0</v>
      </c>
      <c r="AH22" s="47">
        <f t="shared" si="4"/>
        <v>0</v>
      </c>
      <c r="AI22" s="47">
        <f t="shared" si="5"/>
        <v>14</v>
      </c>
      <c r="AJ22" s="47">
        <f t="shared" si="6"/>
        <v>14</v>
      </c>
      <c r="AK22" s="47">
        <f t="shared" si="7"/>
        <v>16</v>
      </c>
      <c r="AL22" s="47">
        <f t="shared" si="8"/>
        <v>16</v>
      </c>
      <c r="AM22" s="47">
        <f t="shared" si="9"/>
        <v>16</v>
      </c>
      <c r="AN22" s="47">
        <f t="shared" si="10"/>
        <v>16</v>
      </c>
      <c r="AO22" s="47">
        <f t="shared" si="11"/>
        <v>16</v>
      </c>
      <c r="AP22" s="47">
        <f t="shared" si="12"/>
        <v>16</v>
      </c>
      <c r="AQ22" s="47">
        <f t="shared" si="13"/>
        <v>16</v>
      </c>
      <c r="AR22" s="47">
        <f t="shared" si="14"/>
        <v>16</v>
      </c>
      <c r="AS22" s="47">
        <f t="shared" si="15"/>
        <v>16</v>
      </c>
      <c r="AT22" s="47">
        <f t="shared" si="16"/>
        <v>16</v>
      </c>
      <c r="AU22" s="47">
        <f t="shared" si="17"/>
        <v>16</v>
      </c>
      <c r="AV22" s="47">
        <f t="shared" si="18"/>
        <v>16</v>
      </c>
      <c r="AW22" s="47">
        <f t="shared" si="19"/>
        <v>16</v>
      </c>
      <c r="AX22" s="47">
        <f t="shared" si="20"/>
        <v>16</v>
      </c>
      <c r="AY22" s="47">
        <f t="shared" si="21"/>
        <v>16</v>
      </c>
      <c r="AZ22" s="47">
        <f t="shared" si="22"/>
        <v>16</v>
      </c>
      <c r="BA22" s="47">
        <f t="shared" si="23"/>
        <v>16</v>
      </c>
      <c r="BB22" s="47">
        <f t="shared" si="24"/>
        <v>16</v>
      </c>
      <c r="BC22" s="47">
        <f t="shared" si="25"/>
        <v>16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Svalövs BK 2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Kyrkheddinge IF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0</v>
      </c>
      <c r="AF23" s="47">
        <f t="shared" si="2"/>
        <v>0</v>
      </c>
      <c r="AG23" s="47">
        <f t="shared" si="3"/>
        <v>14</v>
      </c>
      <c r="AH23" s="47">
        <f t="shared" si="4"/>
        <v>14</v>
      </c>
      <c r="AI23" s="47">
        <f t="shared" si="5"/>
        <v>14</v>
      </c>
      <c r="AJ23" s="47">
        <f t="shared" si="6"/>
        <v>16</v>
      </c>
      <c r="AK23" s="47">
        <f t="shared" si="7"/>
        <v>16</v>
      </c>
      <c r="AL23" s="47">
        <f t="shared" si="8"/>
        <v>0</v>
      </c>
      <c r="AM23" s="47">
        <f t="shared" si="9"/>
        <v>0</v>
      </c>
      <c r="AN23" s="47">
        <f t="shared" si="10"/>
        <v>0</v>
      </c>
      <c r="AO23" s="47">
        <f t="shared" si="11"/>
        <v>0</v>
      </c>
      <c r="AP23" s="47">
        <f t="shared" si="12"/>
        <v>0</v>
      </c>
      <c r="AQ23" s="47">
        <f t="shared" si="13"/>
        <v>0</v>
      </c>
      <c r="AR23" s="47">
        <f t="shared" si="14"/>
        <v>0</v>
      </c>
      <c r="AS23" s="47">
        <f t="shared" si="15"/>
        <v>0</v>
      </c>
      <c r="AT23" s="47">
        <f t="shared" si="16"/>
        <v>0</v>
      </c>
      <c r="AU23" s="47">
        <f t="shared" si="17"/>
        <v>0</v>
      </c>
      <c r="AV23" s="47">
        <f t="shared" si="18"/>
        <v>0</v>
      </c>
      <c r="AW23" s="47">
        <f t="shared" si="19"/>
        <v>0</v>
      </c>
      <c r="AX23" s="47">
        <f t="shared" si="20"/>
        <v>0</v>
      </c>
      <c r="AY23" s="47">
        <f t="shared" si="21"/>
        <v>0</v>
      </c>
      <c r="AZ23" s="47">
        <f t="shared" si="22"/>
        <v>0</v>
      </c>
      <c r="BA23" s="47">
        <f t="shared" si="23"/>
        <v>0</v>
      </c>
      <c r="BB23" s="47">
        <f t="shared" si="24"/>
        <v>0</v>
      </c>
      <c r="BC23" s="47">
        <f t="shared" si="25"/>
        <v>0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14</v>
      </c>
      <c r="AG24" s="47">
        <f t="shared" si="3"/>
        <v>14</v>
      </c>
      <c r="AH24" s="47">
        <f t="shared" si="4"/>
        <v>16</v>
      </c>
      <c r="AI24" s="47">
        <f t="shared" si="5"/>
        <v>16</v>
      </c>
      <c r="AJ24" s="47">
        <f t="shared" si="6"/>
        <v>16</v>
      </c>
      <c r="AK24" s="47">
        <f t="shared" si="7"/>
        <v>0</v>
      </c>
      <c r="AL24" s="47">
        <f t="shared" si="8"/>
        <v>0</v>
      </c>
      <c r="AM24" s="47">
        <f t="shared" si="9"/>
        <v>18</v>
      </c>
      <c r="AN24" s="47">
        <f t="shared" si="10"/>
        <v>18</v>
      </c>
      <c r="AO24" s="47">
        <f t="shared" si="11"/>
        <v>18</v>
      </c>
      <c r="AP24" s="47">
        <f t="shared" si="12"/>
        <v>18</v>
      </c>
      <c r="AQ24" s="47">
        <f t="shared" si="13"/>
        <v>18</v>
      </c>
      <c r="AR24" s="47">
        <f t="shared" si="14"/>
        <v>18</v>
      </c>
      <c r="AS24" s="47">
        <f t="shared" si="15"/>
        <v>18</v>
      </c>
      <c r="AT24" s="47">
        <f t="shared" si="16"/>
        <v>18</v>
      </c>
      <c r="AU24" s="47">
        <f t="shared" si="17"/>
        <v>18</v>
      </c>
      <c r="AV24" s="47">
        <f t="shared" si="18"/>
        <v>18</v>
      </c>
      <c r="AW24" s="47">
        <f t="shared" si="19"/>
        <v>18</v>
      </c>
      <c r="AX24" s="47">
        <f t="shared" si="20"/>
        <v>18</v>
      </c>
      <c r="AY24" s="47">
        <f t="shared" si="21"/>
        <v>18</v>
      </c>
      <c r="AZ24" s="47">
        <f t="shared" si="22"/>
        <v>18</v>
      </c>
      <c r="BA24" s="47">
        <f t="shared" si="23"/>
        <v>18</v>
      </c>
      <c r="BB24" s="47">
        <f t="shared" si="24"/>
        <v>18</v>
      </c>
      <c r="BC24" s="47">
        <f t="shared" si="25"/>
        <v>18</v>
      </c>
    </row>
    <row r="25" spans="1:55" ht="18">
      <c r="A25" s="48">
        <f>IF((OR(Originalschema!F26="vakant",Originalschema!H26="vakant")),Originalschema!A27,Originalschema!A26)</f>
        <v>14</v>
      </c>
      <c r="B25" s="50"/>
      <c r="D25" s="50"/>
      <c r="E25" s="28" t="str">
        <f>IF(OR(Originalschema!F26="vakant",Originalschema!H26="vakant"),Originalschema!F27,Originalschema!F26)</f>
        <v>Kågeröds BoIF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Svalövs BK 1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14</v>
      </c>
      <c r="AF25" s="47">
        <f t="shared" si="2"/>
        <v>14</v>
      </c>
      <c r="AG25" s="47">
        <f t="shared" si="3"/>
        <v>16</v>
      </c>
      <c r="AH25" s="47">
        <f t="shared" si="4"/>
        <v>16</v>
      </c>
      <c r="AI25" s="47">
        <f t="shared" si="5"/>
        <v>0</v>
      </c>
      <c r="AJ25" s="47">
        <f t="shared" si="6"/>
        <v>0</v>
      </c>
      <c r="AK25" s="47">
        <f t="shared" si="7"/>
        <v>0</v>
      </c>
      <c r="AL25" s="47">
        <f t="shared" si="8"/>
        <v>18</v>
      </c>
      <c r="AM25" s="47">
        <f t="shared" si="9"/>
        <v>18</v>
      </c>
      <c r="AN25" s="47">
        <f t="shared" si="10"/>
        <v>20</v>
      </c>
      <c r="AO25" s="47">
        <f t="shared" si="11"/>
        <v>20</v>
      </c>
      <c r="AP25" s="47">
        <f t="shared" si="12"/>
        <v>20</v>
      </c>
      <c r="AQ25" s="47">
        <f t="shared" si="13"/>
        <v>20</v>
      </c>
      <c r="AR25" s="47">
        <f t="shared" si="14"/>
        <v>20</v>
      </c>
      <c r="AS25" s="47">
        <f t="shared" si="15"/>
        <v>20</v>
      </c>
      <c r="AT25" s="47">
        <f t="shared" si="16"/>
        <v>20</v>
      </c>
      <c r="AU25" s="47">
        <f t="shared" si="17"/>
        <v>20</v>
      </c>
      <c r="AV25" s="47">
        <f t="shared" si="18"/>
        <v>20</v>
      </c>
      <c r="AW25" s="47">
        <f t="shared" si="19"/>
        <v>20</v>
      </c>
      <c r="AX25" s="47">
        <f t="shared" si="20"/>
        <v>20</v>
      </c>
      <c r="AY25" s="47">
        <f t="shared" si="21"/>
        <v>20</v>
      </c>
      <c r="AZ25" s="47">
        <f t="shared" si="22"/>
        <v>20</v>
      </c>
      <c r="BA25" s="47">
        <f t="shared" si="23"/>
        <v>20</v>
      </c>
      <c r="BB25" s="47">
        <f t="shared" si="24"/>
        <v>20</v>
      </c>
      <c r="BC25" s="47">
        <f t="shared" si="25"/>
        <v>20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Kågeröds BoIF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Svalövs BK 1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16</v>
      </c>
      <c r="AF26" s="47">
        <f t="shared" si="2"/>
        <v>16</v>
      </c>
      <c r="AG26" s="47">
        <f t="shared" si="3"/>
        <v>16</v>
      </c>
      <c r="AH26" s="47">
        <f t="shared" si="4"/>
        <v>0</v>
      </c>
      <c r="AI26" s="47">
        <f t="shared" si="5"/>
        <v>0</v>
      </c>
      <c r="AJ26" s="47">
        <f t="shared" si="6"/>
        <v>18</v>
      </c>
      <c r="AK26" s="47">
        <f t="shared" si="7"/>
        <v>18</v>
      </c>
      <c r="AL26" s="47">
        <f t="shared" si="8"/>
        <v>18</v>
      </c>
      <c r="AM26" s="47">
        <f t="shared" si="9"/>
        <v>20</v>
      </c>
      <c r="AN26" s="47">
        <f t="shared" si="10"/>
        <v>20</v>
      </c>
      <c r="AO26" s="47">
        <f t="shared" si="11"/>
        <v>0</v>
      </c>
      <c r="AP26" s="47">
        <f t="shared" si="12"/>
        <v>0</v>
      </c>
      <c r="AQ26" s="47">
        <f t="shared" si="13"/>
        <v>0</v>
      </c>
      <c r="AR26" s="47">
        <f t="shared" si="14"/>
        <v>0</v>
      </c>
      <c r="AS26" s="47">
        <f t="shared" si="15"/>
        <v>0</v>
      </c>
      <c r="AT26" s="47">
        <f t="shared" si="16"/>
        <v>0</v>
      </c>
      <c r="AU26" s="47">
        <f t="shared" si="17"/>
        <v>0</v>
      </c>
      <c r="AV26" s="47">
        <f t="shared" si="18"/>
        <v>0</v>
      </c>
      <c r="AW26" s="47">
        <f t="shared" si="19"/>
        <v>0</v>
      </c>
      <c r="AX26" s="47">
        <f t="shared" si="20"/>
        <v>0</v>
      </c>
      <c r="AY26" s="47">
        <f t="shared" si="21"/>
        <v>0</v>
      </c>
      <c r="AZ26" s="47">
        <f t="shared" si="22"/>
        <v>0</v>
      </c>
      <c r="BA26" s="47">
        <f t="shared" si="23"/>
        <v>0</v>
      </c>
      <c r="BB26" s="47">
        <f t="shared" si="24"/>
        <v>0</v>
      </c>
      <c r="BC26" s="47">
        <f t="shared" si="25"/>
        <v>0</v>
      </c>
    </row>
    <row r="27" spans="1:55" ht="18">
      <c r="A27" s="48">
        <f>IF((OR(Originalschema!F28="vakant",Originalschema!H28="vakant")),Originalschema!A29,Originalschema!A28)</f>
        <v>16</v>
      </c>
      <c r="B27" s="50"/>
      <c r="D27" s="50"/>
      <c r="E27" s="28" t="str">
        <f>IF(OR(Originalschema!F28="vakant",Originalschema!H28="vakant"),Originalschema!F29,Originalschema!F28)</f>
        <v>Borstahusens BK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Svalövs BK 2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16</v>
      </c>
      <c r="AF27" s="47">
        <f t="shared" si="2"/>
        <v>0</v>
      </c>
      <c r="AG27" s="47">
        <f t="shared" si="3"/>
        <v>0</v>
      </c>
      <c r="AH27" s="47">
        <f t="shared" si="4"/>
        <v>0</v>
      </c>
      <c r="AI27" s="47">
        <f t="shared" si="5"/>
        <v>18</v>
      </c>
      <c r="AJ27" s="47">
        <f t="shared" si="6"/>
        <v>18</v>
      </c>
      <c r="AK27" s="47">
        <f t="shared" si="7"/>
        <v>20</v>
      </c>
      <c r="AL27" s="47">
        <f t="shared" si="8"/>
        <v>20</v>
      </c>
      <c r="AM27" s="47">
        <f t="shared" si="9"/>
        <v>20</v>
      </c>
      <c r="AN27" s="47">
        <f t="shared" si="10"/>
        <v>0</v>
      </c>
      <c r="AO27" s="47">
        <f t="shared" si="11"/>
        <v>0</v>
      </c>
      <c r="AP27" s="47">
        <f t="shared" si="12"/>
        <v>0</v>
      </c>
      <c r="AQ27" s="47">
        <f t="shared" si="13"/>
        <v>0</v>
      </c>
      <c r="AR27" s="47">
        <f t="shared" si="14"/>
        <v>0</v>
      </c>
      <c r="AS27" s="47">
        <f t="shared" si="15"/>
        <v>0</v>
      </c>
      <c r="AT27" s="47">
        <f t="shared" si="16"/>
        <v>0</v>
      </c>
      <c r="AU27" s="47">
        <f t="shared" si="17"/>
        <v>0</v>
      </c>
      <c r="AV27" s="47">
        <f t="shared" si="18"/>
        <v>0</v>
      </c>
      <c r="AW27" s="47">
        <f t="shared" si="19"/>
        <v>0</v>
      </c>
      <c r="AX27" s="47">
        <f t="shared" si="20"/>
        <v>0</v>
      </c>
      <c r="AY27" s="47">
        <f t="shared" si="21"/>
        <v>0</v>
      </c>
      <c r="AZ27" s="47">
        <f t="shared" si="22"/>
        <v>0</v>
      </c>
      <c r="BA27" s="47">
        <f t="shared" si="23"/>
        <v>0</v>
      </c>
      <c r="BB27" s="47">
        <f t="shared" si="24"/>
        <v>0</v>
      </c>
      <c r="BC27" s="47">
        <f t="shared" si="25"/>
        <v>0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Borstahusens BK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Svalövs BK 2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0</v>
      </c>
      <c r="AF28" s="47">
        <f t="shared" si="2"/>
        <v>0</v>
      </c>
      <c r="AG28" s="47">
        <f t="shared" si="3"/>
        <v>18</v>
      </c>
      <c r="AH28" s="47">
        <f t="shared" si="4"/>
        <v>18</v>
      </c>
      <c r="AI28" s="47">
        <f t="shared" si="5"/>
        <v>18</v>
      </c>
      <c r="AJ28" s="47">
        <f t="shared" si="6"/>
        <v>20</v>
      </c>
      <c r="AK28" s="47">
        <f t="shared" si="7"/>
        <v>20</v>
      </c>
      <c r="AL28" s="47">
        <f t="shared" si="8"/>
        <v>0</v>
      </c>
      <c r="AM28" s="47">
        <f t="shared" si="9"/>
        <v>0</v>
      </c>
      <c r="AN28" s="47">
        <f t="shared" si="10"/>
        <v>0</v>
      </c>
      <c r="AO28" s="47">
        <f t="shared" si="11"/>
        <v>0</v>
      </c>
      <c r="AP28" s="47">
        <f t="shared" si="12"/>
        <v>0</v>
      </c>
      <c r="AQ28" s="47">
        <f t="shared" si="13"/>
        <v>0</v>
      </c>
      <c r="AR28" s="47">
        <f t="shared" si="14"/>
        <v>0</v>
      </c>
      <c r="AS28" s="47">
        <f t="shared" si="15"/>
        <v>0</v>
      </c>
      <c r="AT28" s="47">
        <f t="shared" si="16"/>
        <v>0</v>
      </c>
      <c r="AU28" s="47">
        <f t="shared" si="17"/>
        <v>0</v>
      </c>
      <c r="AV28" s="47">
        <f t="shared" si="18"/>
        <v>0</v>
      </c>
      <c r="AW28" s="47">
        <f t="shared" si="19"/>
        <v>0</v>
      </c>
      <c r="AX28" s="47">
        <f t="shared" si="20"/>
        <v>0</v>
      </c>
      <c r="AY28" s="47">
        <f t="shared" si="21"/>
        <v>0</v>
      </c>
      <c r="AZ28" s="47">
        <f t="shared" si="22"/>
        <v>0</v>
      </c>
      <c r="BA28" s="47">
        <f t="shared" si="23"/>
        <v>0</v>
      </c>
      <c r="BB28" s="47">
        <f t="shared" si="24"/>
        <v>0</v>
      </c>
      <c r="BC28" s="47">
        <f t="shared" si="25"/>
        <v>0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18</v>
      </c>
      <c r="AG29" s="47">
        <f t="shared" si="3"/>
        <v>18</v>
      </c>
      <c r="AH29" s="47">
        <f t="shared" si="4"/>
        <v>20</v>
      </c>
      <c r="AI29" s="47">
        <f t="shared" si="5"/>
        <v>20</v>
      </c>
      <c r="AJ29" s="47">
        <f t="shared" si="6"/>
        <v>20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18</v>
      </c>
      <c r="B30" s="50"/>
      <c r="D30" s="50"/>
      <c r="E30" s="28" t="str">
        <f>IF(OR(Originalschema!F31="vakant",Originalschema!H31="vakant"),Originalschema!F32,Originalschema!F31)</f>
        <v>Furulunds IK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Kågeröds BoIF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18</v>
      </c>
      <c r="AF30" s="47">
        <f t="shared" si="2"/>
        <v>18</v>
      </c>
      <c r="AG30" s="47">
        <f t="shared" si="3"/>
        <v>20</v>
      </c>
      <c r="AH30" s="47">
        <f t="shared" si="4"/>
        <v>20</v>
      </c>
      <c r="AI30" s="47">
        <f t="shared" si="5"/>
        <v>0</v>
      </c>
      <c r="AJ30" s="47">
        <f t="shared" si="6"/>
        <v>0</v>
      </c>
      <c r="AK30" s="47">
        <f t="shared" si="7"/>
        <v>0</v>
      </c>
      <c r="AL30" s="47">
        <f t="shared" si="8"/>
        <v>0</v>
      </c>
      <c r="AM30" s="47">
        <f t="shared" si="9"/>
        <v>0</v>
      </c>
      <c r="AN30" s="47">
        <f t="shared" si="10"/>
        <v>0</v>
      </c>
      <c r="AO30" s="47">
        <f t="shared" si="11"/>
        <v>0</v>
      </c>
      <c r="AP30" s="47">
        <f t="shared" si="12"/>
        <v>0</v>
      </c>
      <c r="AQ30" s="47">
        <f t="shared" si="13"/>
        <v>0</v>
      </c>
      <c r="AR30" s="47">
        <f t="shared" si="14"/>
        <v>0</v>
      </c>
      <c r="AS30" s="47">
        <f t="shared" si="15"/>
        <v>0</v>
      </c>
      <c r="AT30" s="47">
        <f t="shared" si="16"/>
        <v>0</v>
      </c>
      <c r="AU30" s="47">
        <f t="shared" si="17"/>
        <v>0</v>
      </c>
      <c r="AV30" s="47">
        <f t="shared" si="18"/>
        <v>0</v>
      </c>
      <c r="AW30" s="47">
        <f t="shared" si="19"/>
        <v>0</v>
      </c>
      <c r="AX30" s="47">
        <f t="shared" si="20"/>
        <v>0</v>
      </c>
      <c r="AY30" s="47">
        <f t="shared" si="21"/>
        <v>0</v>
      </c>
      <c r="AZ30" s="47">
        <f t="shared" si="22"/>
        <v>0</v>
      </c>
      <c r="BA30" s="47">
        <f t="shared" si="23"/>
        <v>0</v>
      </c>
      <c r="BB30" s="47">
        <f t="shared" si="24"/>
        <v>0</v>
      </c>
      <c r="BC30" s="47">
        <f t="shared" si="25"/>
        <v>0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Furulunds IK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Kågeröds BoIF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20</v>
      </c>
      <c r="AF31" s="47">
        <f aca="true" t="shared" si="27" ref="AF31:BC31">+IF(AE31=AE30,AE32,AE31)</f>
        <v>20</v>
      </c>
      <c r="AG31" s="47">
        <f t="shared" si="27"/>
        <v>20</v>
      </c>
      <c r="AH31" s="47">
        <f t="shared" si="27"/>
        <v>0</v>
      </c>
      <c r="AI31" s="47">
        <f t="shared" si="27"/>
        <v>0</v>
      </c>
      <c r="AJ31" s="47">
        <f t="shared" si="27"/>
        <v>0</v>
      </c>
      <c r="AK31" s="47">
        <f t="shared" si="27"/>
        <v>0</v>
      </c>
      <c r="AL31" s="47">
        <f t="shared" si="27"/>
        <v>0</v>
      </c>
      <c r="AM31" s="47">
        <f t="shared" si="27"/>
        <v>0</v>
      </c>
      <c r="AN31" s="47">
        <f t="shared" si="27"/>
        <v>0</v>
      </c>
      <c r="AO31" s="47">
        <f t="shared" si="27"/>
        <v>0</v>
      </c>
      <c r="AP31" s="47">
        <f t="shared" si="27"/>
        <v>0</v>
      </c>
      <c r="AQ31" s="47">
        <f t="shared" si="27"/>
        <v>0</v>
      </c>
      <c r="AR31" s="47">
        <f t="shared" si="27"/>
        <v>0</v>
      </c>
      <c r="AS31" s="47">
        <f t="shared" si="27"/>
        <v>0</v>
      </c>
      <c r="AT31" s="47">
        <f t="shared" si="27"/>
        <v>0</v>
      </c>
      <c r="AU31" s="47">
        <f t="shared" si="27"/>
        <v>0</v>
      </c>
      <c r="AV31" s="47">
        <f t="shared" si="27"/>
        <v>0</v>
      </c>
      <c r="AW31" s="47">
        <f t="shared" si="27"/>
        <v>0</v>
      </c>
      <c r="AX31" s="47">
        <f t="shared" si="27"/>
        <v>0</v>
      </c>
      <c r="AY31" s="47">
        <f t="shared" si="27"/>
        <v>0</v>
      </c>
      <c r="AZ31" s="47">
        <f t="shared" si="27"/>
        <v>0</v>
      </c>
      <c r="BA31" s="47">
        <f t="shared" si="27"/>
        <v>0</v>
      </c>
      <c r="BB31" s="47">
        <f t="shared" si="27"/>
        <v>0</v>
      </c>
      <c r="BC31" s="47">
        <f t="shared" si="27"/>
        <v>0</v>
      </c>
    </row>
    <row r="32" spans="1:55" ht="18">
      <c r="A32" s="48">
        <f>IF((OR(Originalschema!F33="vakant",Originalschema!H33="vakant")),Originalschema!A34,Originalschema!A33)</f>
        <v>20</v>
      </c>
      <c r="B32" s="50"/>
      <c r="D32" s="50"/>
      <c r="E32" s="28" t="str">
        <f>IF(OR(Originalschema!F33="vakant",Originalschema!H33="vakant"),Originalschema!F34,Originalschema!F33)</f>
        <v>Kullavägen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Borstahusens BK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20</v>
      </c>
      <c r="AF32" s="47">
        <f aca="true" t="shared" si="28" ref="AF32:BC32">+IF(AE32=AE31,AE33,AE32)</f>
        <v>0</v>
      </c>
      <c r="AG32" s="47">
        <f t="shared" si="28"/>
        <v>0</v>
      </c>
      <c r="AH32" s="47">
        <f t="shared" si="28"/>
        <v>0</v>
      </c>
      <c r="AI32" s="47">
        <f t="shared" si="28"/>
        <v>0</v>
      </c>
      <c r="AJ32" s="47">
        <f t="shared" si="28"/>
        <v>0</v>
      </c>
      <c r="AK32" s="47">
        <f t="shared" si="28"/>
        <v>0</v>
      </c>
      <c r="AL32" s="47">
        <f t="shared" si="28"/>
        <v>0</v>
      </c>
      <c r="AM32" s="47">
        <f t="shared" si="28"/>
        <v>0</v>
      </c>
      <c r="AN32" s="47">
        <f t="shared" si="28"/>
        <v>0</v>
      </c>
      <c r="AO32" s="47">
        <f t="shared" si="28"/>
        <v>0</v>
      </c>
      <c r="AP32" s="47">
        <f t="shared" si="28"/>
        <v>0</v>
      </c>
      <c r="AQ32" s="47">
        <f t="shared" si="28"/>
        <v>0</v>
      </c>
      <c r="AR32" s="47">
        <f t="shared" si="28"/>
        <v>0</v>
      </c>
      <c r="AS32" s="47">
        <f t="shared" si="28"/>
        <v>0</v>
      </c>
      <c r="AT32" s="47">
        <f t="shared" si="28"/>
        <v>0</v>
      </c>
      <c r="AU32" s="47">
        <f t="shared" si="28"/>
        <v>0</v>
      </c>
      <c r="AV32" s="47">
        <f t="shared" si="28"/>
        <v>0</v>
      </c>
      <c r="AW32" s="47">
        <f t="shared" si="28"/>
        <v>0</v>
      </c>
      <c r="AX32" s="47">
        <f t="shared" si="28"/>
        <v>0</v>
      </c>
      <c r="AY32" s="47">
        <f t="shared" si="28"/>
        <v>0</v>
      </c>
      <c r="AZ32" s="47">
        <f t="shared" si="28"/>
        <v>0</v>
      </c>
      <c r="BA32" s="47">
        <f t="shared" si="28"/>
        <v>0</v>
      </c>
      <c r="BB32" s="47">
        <f t="shared" si="28"/>
        <v>0</v>
      </c>
      <c r="BC32" s="47">
        <f t="shared" si="28"/>
        <v>0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Kullavägen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Borstahusens BK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0</v>
      </c>
      <c r="AF33" s="47">
        <f aca="true" t="shared" si="29" ref="AF33:BC33">+IF(AE33=AE32,AE34,AE33)</f>
        <v>0</v>
      </c>
      <c r="AG33" s="47">
        <f t="shared" si="29"/>
        <v>0</v>
      </c>
      <c r="AH33" s="47">
        <f t="shared" si="29"/>
        <v>0</v>
      </c>
      <c r="AI33" s="47">
        <f t="shared" si="29"/>
        <v>0</v>
      </c>
      <c r="AJ33" s="47">
        <f t="shared" si="29"/>
        <v>0</v>
      </c>
      <c r="AK33" s="47">
        <f t="shared" si="29"/>
        <v>0</v>
      </c>
      <c r="AL33" s="47">
        <f t="shared" si="29"/>
        <v>0</v>
      </c>
      <c r="AM33" s="47">
        <f t="shared" si="29"/>
        <v>0</v>
      </c>
      <c r="AN33" s="47">
        <f t="shared" si="29"/>
        <v>0</v>
      </c>
      <c r="AO33" s="47">
        <f t="shared" si="29"/>
        <v>0</v>
      </c>
      <c r="AP33" s="47">
        <f t="shared" si="29"/>
        <v>0</v>
      </c>
      <c r="AQ33" s="47">
        <f t="shared" si="29"/>
        <v>0</v>
      </c>
      <c r="AR33" s="47">
        <f t="shared" si="29"/>
        <v>0</v>
      </c>
      <c r="AS33" s="47">
        <f t="shared" si="29"/>
        <v>0</v>
      </c>
      <c r="AT33" s="47">
        <f t="shared" si="29"/>
        <v>0</v>
      </c>
      <c r="AU33" s="47">
        <f t="shared" si="29"/>
        <v>0</v>
      </c>
      <c r="AV33" s="47">
        <f t="shared" si="29"/>
        <v>0</v>
      </c>
      <c r="AW33" s="47">
        <f t="shared" si="29"/>
        <v>0</v>
      </c>
      <c r="AX33" s="47">
        <f t="shared" si="29"/>
        <v>0</v>
      </c>
      <c r="AY33" s="47">
        <f t="shared" si="29"/>
        <v>0</v>
      </c>
      <c r="AZ33" s="47">
        <f t="shared" si="29"/>
        <v>0</v>
      </c>
      <c r="BA33" s="47">
        <f t="shared" si="29"/>
        <v>0</v>
      </c>
      <c r="BB33" s="47">
        <f t="shared" si="29"/>
        <v>0</v>
      </c>
      <c r="BC33" s="47">
        <f t="shared" si="29"/>
        <v>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3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79</v>
      </c>
    </row>
    <row r="3" spans="1:2" ht="48.75" customHeight="1">
      <c r="A3" s="10" t="s">
        <v>30</v>
      </c>
      <c r="B3" s="11" t="s">
        <v>81</v>
      </c>
    </row>
    <row r="4" spans="1:2" ht="48.75" customHeight="1">
      <c r="A4" s="10" t="s">
        <v>31</v>
      </c>
      <c r="B4" s="11" t="s">
        <v>82</v>
      </c>
    </row>
    <row r="5" spans="1:2" ht="48.75" customHeight="1">
      <c r="A5" s="10" t="s">
        <v>32</v>
      </c>
      <c r="B5" s="11" t="s">
        <v>83</v>
      </c>
    </row>
    <row r="6" spans="1:2" ht="48.75" customHeight="1">
      <c r="A6" s="10" t="s">
        <v>33</v>
      </c>
      <c r="B6" s="11" t="s">
        <v>86</v>
      </c>
    </row>
    <row r="7" spans="1:2" ht="48.75" customHeight="1">
      <c r="A7" s="10" t="s">
        <v>34</v>
      </c>
      <c r="B7" s="11"/>
    </row>
    <row r="8" spans="1:2" ht="48.75" customHeight="1">
      <c r="A8" s="10" t="s">
        <v>35</v>
      </c>
      <c r="B8" s="11"/>
    </row>
    <row r="9" spans="1:2" ht="48.75" customHeight="1">
      <c r="A9" s="10" t="s">
        <v>36</v>
      </c>
      <c r="B9" s="11" t="s">
        <v>80</v>
      </c>
    </row>
    <row r="10" spans="1:2" ht="48.75" customHeight="1">
      <c r="A10" s="10" t="s">
        <v>37</v>
      </c>
      <c r="B10" s="11" t="s">
        <v>84</v>
      </c>
    </row>
    <row r="11" spans="1:2" ht="48.75" customHeight="1">
      <c r="A11" s="10" t="s">
        <v>38</v>
      </c>
      <c r="B11" s="11" t="s">
        <v>75</v>
      </c>
    </row>
    <row r="12" spans="1:2" ht="48.75" customHeight="1">
      <c r="A12" s="10" t="s">
        <v>39</v>
      </c>
      <c r="B12" s="11" t="s">
        <v>85</v>
      </c>
    </row>
    <row r="13" spans="1:2" ht="48.75" customHeight="1">
      <c r="A13" s="10" t="s">
        <v>40</v>
      </c>
      <c r="B13" s="11" t="s">
        <v>86</v>
      </c>
    </row>
  </sheetData>
  <sheetProtection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41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30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30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31</v>
      </c>
      <c r="G3" s="1" t="s">
        <v>32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31</v>
      </c>
      <c r="O3" s="20" t="s">
        <v>32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36</v>
      </c>
      <c r="G4" s="1" t="s">
        <v>37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33</v>
      </c>
      <c r="O4" s="14" t="s">
        <v>34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38</v>
      </c>
      <c r="G5" s="1" t="s">
        <v>39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31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33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30</v>
      </c>
      <c r="O6" s="21" t="s">
        <v>33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30</v>
      </c>
      <c r="G7" s="1" t="s">
        <v>31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32</v>
      </c>
      <c r="O7" s="14" t="s">
        <v>34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40</v>
      </c>
      <c r="G8" s="1" t="s">
        <v>36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31</v>
      </c>
      <c r="O8" s="21" t="s">
        <v>33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37</v>
      </c>
      <c r="G9" s="1" t="s">
        <v>38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32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32</v>
      </c>
      <c r="G10" s="1" t="s">
        <v>33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34</v>
      </c>
      <c r="O10" s="17" t="s">
        <v>30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31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33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39</v>
      </c>
      <c r="G12" s="1" t="s">
        <v>40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34</v>
      </c>
      <c r="O12" s="19" t="s">
        <v>31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36</v>
      </c>
      <c r="G13" s="1" t="s">
        <v>38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30</v>
      </c>
      <c r="O13" s="20" t="s">
        <v>32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33</v>
      </c>
      <c r="G14" s="1" t="s">
        <v>30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34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32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32</v>
      </c>
      <c r="O15" s="21" t="s">
        <v>33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40</v>
      </c>
      <c r="G16" s="1" t="s">
        <v>37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31</v>
      </c>
      <c r="O16" s="17" t="s">
        <v>30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39</v>
      </c>
      <c r="G17" s="1" t="s">
        <v>36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31</v>
      </c>
      <c r="G18" s="1" t="s">
        <v>33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30</v>
      </c>
      <c r="G19" s="1" t="s">
        <v>32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38</v>
      </c>
      <c r="G20" s="1" t="s">
        <v>40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37</v>
      </c>
      <c r="G21" s="1" t="s">
        <v>39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42</v>
      </c>
    </row>
  </sheetData>
  <sheetProtection sheet="1" objects="1" scenarios="1"/>
  <conditionalFormatting sqref="N2:O16 N18:O19 Q1:R1 Q20:R65536">
    <cfRule type="cellIs" priority="1" dxfId="17" operator="equal" stopIfTrue="1">
      <formula>1</formula>
    </cfRule>
    <cfRule type="cellIs" priority="2" dxfId="16" operator="equal" stopIfTrue="1">
      <formula>2</formula>
    </cfRule>
    <cfRule type="cellIs" priority="3" dxfId="15" operator="equal" stopIfTrue="1">
      <formula>3</formula>
    </cfRule>
  </conditionalFormatting>
  <conditionalFormatting sqref="A6:A65536 D23 E6:E65536">
    <cfRule type="cellIs" priority="4" dxfId="0" operator="equal" stopIfTrue="1">
      <formula>"A3"</formula>
    </cfRule>
  </conditionalFormatting>
  <conditionalFormatting sqref="D19:D22 D24:D65536">
    <cfRule type="cellIs" priority="5" dxfId="0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43</v>
      </c>
      <c r="B22" s="24"/>
      <c r="C22" s="24"/>
      <c r="F22" s="24"/>
      <c r="G22" s="24"/>
    </row>
    <row r="23" spans="1:7" ht="12.75">
      <c r="A23" s="1" t="s">
        <v>44</v>
      </c>
      <c r="B23" s="24"/>
      <c r="C23" s="24"/>
      <c r="F23" s="24"/>
      <c r="G23" s="24"/>
    </row>
    <row r="24" spans="1:7" ht="12.75">
      <c r="A24" s="1" t="s">
        <v>45</v>
      </c>
      <c r="B24" s="24"/>
      <c r="C24" s="24"/>
      <c r="F24" s="24"/>
      <c r="G24" s="24"/>
    </row>
    <row r="25" spans="1:7" ht="12.75">
      <c r="A25" s="1" t="s">
        <v>46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Svalövs BK 1</v>
      </c>
      <c r="C1" s="25" t="s">
        <v>47</v>
      </c>
    </row>
    <row r="2" spans="1:3" ht="20.25" hidden="1">
      <c r="A2" s="25" t="s">
        <v>30</v>
      </c>
      <c r="B2" s="25" t="str">
        <f>+VLOOKUP(A2,Lottning!$A$2:$B$13,2,FALSE)</f>
        <v>Furulunds IK</v>
      </c>
      <c r="C2" s="25" t="s">
        <v>47</v>
      </c>
    </row>
    <row r="3" spans="1:3" ht="20.25" hidden="1">
      <c r="A3" s="25" t="s">
        <v>31</v>
      </c>
      <c r="B3" s="25" t="str">
        <f>+VLOOKUP(A3,Lottning!$A$2:$B$13,2,FALSE)</f>
        <v>BK Landora</v>
      </c>
      <c r="C3" s="25" t="s">
        <v>47</v>
      </c>
    </row>
    <row r="4" spans="1:3" ht="20.25" hidden="1">
      <c r="A4" s="25" t="s">
        <v>32</v>
      </c>
      <c r="B4" s="25" t="str">
        <f>+VLOOKUP(A4,Lottning!$A$2:$B$13,2,FALSE)</f>
        <v>Kågeröds BoIF</v>
      </c>
      <c r="C4" s="25" t="s">
        <v>47</v>
      </c>
    </row>
    <row r="5" spans="1:3" ht="20.25" hidden="1">
      <c r="A5" s="25" t="s">
        <v>33</v>
      </c>
      <c r="B5" s="25" t="str">
        <f>+VLOOKUP(A5,Lottning!$A$2:$B$13,2,FALSE)</f>
        <v>Vakant</v>
      </c>
      <c r="C5" s="25" t="s">
        <v>47</v>
      </c>
    </row>
    <row r="6" spans="1:3" ht="20.25" hidden="1">
      <c r="A6" s="25" t="s">
        <v>34</v>
      </c>
      <c r="B6" s="25">
        <f>+VLOOKUP(A6,Lottning!$A$2:$B$13,2,FALSE)</f>
        <v>0</v>
      </c>
      <c r="C6" s="25" t="s">
        <v>47</v>
      </c>
    </row>
    <row r="7" spans="1:3" ht="20.25" hidden="1">
      <c r="A7" s="25" t="s">
        <v>35</v>
      </c>
      <c r="B7" s="25">
        <f>+VLOOKUP(A7,Lottning!$A$2:$B$13,2,FALSE)</f>
        <v>0</v>
      </c>
      <c r="C7" s="25" t="s">
        <v>47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Svalövs BK 2</v>
      </c>
      <c r="C8" s="25" t="s">
        <v>48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Kullavägen</v>
      </c>
      <c r="C9" s="25" t="s">
        <v>48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Kyrkheddinge IF</v>
      </c>
      <c r="C10" s="25" t="s">
        <v>48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Borstahusens BK</v>
      </c>
      <c r="C11" s="25" t="s">
        <v>48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Vakant</v>
      </c>
      <c r="C12" s="25" t="s">
        <v>48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Svalövs BK 1</v>
      </c>
      <c r="G2" s="37"/>
      <c r="H2" s="37" t="str">
        <f>+IF(Inställningar!$B$6="nej",(Grupper!B8),"")</f>
        <v>Svalövs BK 2</v>
      </c>
      <c r="I2" s="38"/>
      <c r="J2" s="28"/>
      <c r="K2" s="28"/>
      <c r="L2" s="28"/>
    </row>
    <row r="3" spans="6:12" ht="18">
      <c r="F3" s="37" t="str">
        <f>+IF(Inställningar!$B$6="nej",(Grupper!B2),Lottning!B3)</f>
        <v>Furulunds IK</v>
      </c>
      <c r="G3" s="37"/>
      <c r="H3" s="37" t="str">
        <f>+IF(Inställningar!$B$6="nej",(Grupper!B9),"")</f>
        <v>Kullavägen</v>
      </c>
      <c r="I3" s="38"/>
      <c r="J3" s="28"/>
      <c r="K3" s="28"/>
      <c r="L3" s="28"/>
    </row>
    <row r="4" spans="6:12" ht="18">
      <c r="F4" s="37" t="str">
        <f>+IF(Inställningar!$B$6="nej",(Grupper!B3),Lottning!B4)</f>
        <v>BK Landora</v>
      </c>
      <c r="G4" s="37"/>
      <c r="H4" s="37" t="str">
        <f>+IF(Inställningar!$B$6="nej",(Grupper!B10),"")</f>
        <v>Kyrkheddinge IF</v>
      </c>
      <c r="I4" s="38"/>
      <c r="J4" s="28"/>
      <c r="K4" s="28"/>
      <c r="L4" s="26"/>
    </row>
    <row r="5" spans="6:12" ht="18">
      <c r="F5" s="37" t="str">
        <f>+IF(Inställningar!$B$6="nej",(Grupper!B4),Lottning!B5)</f>
        <v>Kågeröds BoIF</v>
      </c>
      <c r="G5" s="37"/>
      <c r="H5" s="37" t="str">
        <f>+IF(Inställningar!$B$6="nej",(Grupper!B11),"")</f>
        <v>Borstahusens BK</v>
      </c>
      <c r="I5" s="38"/>
      <c r="J5" s="28"/>
      <c r="K5" s="28"/>
      <c r="L5" s="28"/>
    </row>
    <row r="6" spans="6:12" ht="18">
      <c r="F6" s="37" t="str">
        <f>+IF(Inställningar!$B$6="nej",(Grupper!B5),Lottning!B6)</f>
        <v>Vakant</v>
      </c>
      <c r="G6" s="37"/>
      <c r="H6" s="37" t="str">
        <f>+IF(Inställningar!$B$6="nej",(Grupper!B12),"")</f>
        <v>Vakant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  <c r="Y8" s="31" t="s">
        <v>50</v>
      </c>
      <c r="Z8" s="31" t="s">
        <v>50</v>
      </c>
      <c r="AA8" s="31" t="s">
        <v>50</v>
      </c>
      <c r="AB8" s="31" t="s">
        <v>50</v>
      </c>
      <c r="AC8" s="31" t="s">
        <v>50</v>
      </c>
      <c r="AD8" s="31" t="s">
        <v>50</v>
      </c>
      <c r="AE8" s="31" t="s">
        <v>50</v>
      </c>
      <c r="AF8" s="31" t="s">
        <v>50</v>
      </c>
      <c r="AG8" s="31" t="s">
        <v>50</v>
      </c>
      <c r="AH8" s="31" t="s">
        <v>50</v>
      </c>
      <c r="AI8" s="31" t="s">
        <v>50</v>
      </c>
      <c r="AJ8" s="31" t="s">
        <v>50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1" t="s">
        <v>51</v>
      </c>
      <c r="AS8" s="31" t="s">
        <v>51</v>
      </c>
      <c r="AT8" s="31" t="s">
        <v>51</v>
      </c>
      <c r="AU8" s="31" t="s">
        <v>51</v>
      </c>
      <c r="AV8" s="31" t="s">
        <v>51</v>
      </c>
    </row>
    <row r="9" spans="1:48" s="41" customFormat="1" ht="18">
      <c r="A9" s="26" t="s">
        <v>52</v>
      </c>
      <c r="B9" s="27" t="s">
        <v>53</v>
      </c>
      <c r="C9" s="27" t="s">
        <v>54</v>
      </c>
      <c r="D9" s="34"/>
      <c r="E9" s="27" t="s">
        <v>55</v>
      </c>
      <c r="F9" s="27"/>
      <c r="G9" s="27"/>
      <c r="H9" s="27"/>
      <c r="I9" s="121" t="s">
        <v>56</v>
      </c>
      <c r="J9" s="121"/>
      <c r="K9" s="121"/>
      <c r="L9" s="39" t="s">
        <v>57</v>
      </c>
      <c r="M9" s="40" t="str">
        <f>+$F$2</f>
        <v>Svalövs BK 1</v>
      </c>
      <c r="N9" s="40" t="str">
        <f>+$F$3</f>
        <v>Furulunds IK</v>
      </c>
      <c r="O9" s="40" t="str">
        <f>+$F$4</f>
        <v>BK Landora</v>
      </c>
      <c r="P9" s="40" t="str">
        <f>+$F$5</f>
        <v>Kågeröds BoIF</v>
      </c>
      <c r="Q9" s="40" t="str">
        <f>+$F$6</f>
        <v>Vakant</v>
      </c>
      <c r="R9" s="40">
        <f>F7</f>
      </c>
      <c r="S9" s="40">
        <f>F8</f>
      </c>
      <c r="T9" s="40" t="str">
        <f>+$H$2</f>
        <v>Svalövs BK 2</v>
      </c>
      <c r="U9" s="40" t="str">
        <f>+$H$3</f>
        <v>Kullavägen</v>
      </c>
      <c r="V9" s="40" t="str">
        <f>+$H$4</f>
        <v>Kyrkheddinge IF</v>
      </c>
      <c r="W9" s="40" t="str">
        <f>+$H$5</f>
        <v>Borstahusens BK</v>
      </c>
      <c r="X9" s="40" t="str">
        <f>+H$6</f>
        <v>Vakant</v>
      </c>
      <c r="Y9" s="40" t="str">
        <f>+$F$2</f>
        <v>Svalövs BK 1</v>
      </c>
      <c r="Z9" s="40" t="str">
        <f>+$F$3</f>
        <v>Furulunds IK</v>
      </c>
      <c r="AA9" s="40" t="str">
        <f>+$F$4</f>
        <v>BK Landora</v>
      </c>
      <c r="AB9" s="40" t="str">
        <f>+$F$5</f>
        <v>Kågeröds BoIF</v>
      </c>
      <c r="AC9" s="40" t="str">
        <f>+$F$6</f>
        <v>Vakant</v>
      </c>
      <c r="AD9" s="40">
        <f>F7</f>
      </c>
      <c r="AE9" s="40">
        <f>F8</f>
      </c>
      <c r="AF9" s="40" t="str">
        <f>+$H$2</f>
        <v>Svalövs BK 2</v>
      </c>
      <c r="AG9" s="40" t="str">
        <f>+$H$3</f>
        <v>Kullavägen</v>
      </c>
      <c r="AH9" s="40" t="str">
        <f>+$H$4</f>
        <v>Kyrkheddinge IF</v>
      </c>
      <c r="AI9" s="40" t="str">
        <f>+$H$5</f>
        <v>Borstahusens BK</v>
      </c>
      <c r="AJ9" s="40" t="str">
        <f>+$H$6</f>
        <v>Vakant</v>
      </c>
      <c r="AK9" s="40" t="str">
        <f>+$F$2</f>
        <v>Svalövs BK 1</v>
      </c>
      <c r="AL9" s="40" t="str">
        <f>+$F$3</f>
        <v>Furulunds IK</v>
      </c>
      <c r="AM9" s="40" t="str">
        <f>+$F$4</f>
        <v>BK Landora</v>
      </c>
      <c r="AN9" s="40" t="str">
        <f>+$F$5</f>
        <v>Kågeröds BoIF</v>
      </c>
      <c r="AO9" s="40" t="str">
        <f>+$F$6</f>
        <v>Vakant</v>
      </c>
      <c r="AP9" s="40">
        <f>F7</f>
      </c>
      <c r="AQ9" s="40">
        <f>F8</f>
      </c>
      <c r="AR9" s="40" t="str">
        <f>+$H$2</f>
        <v>Svalövs BK 2</v>
      </c>
      <c r="AS9" s="40" t="str">
        <f>+$H$3</f>
        <v>Kullavägen</v>
      </c>
      <c r="AT9" s="40" t="str">
        <f>+$H$4</f>
        <v>Kyrkheddinge IF</v>
      </c>
      <c r="AU9" s="40" t="str">
        <f>+$H$5</f>
        <v>Borstahusens BK</v>
      </c>
      <c r="AV9" s="40" t="str">
        <f>+$H$6</f>
        <v>Vakant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0.5625</v>
      </c>
      <c r="D11" s="29" t="s">
        <v>58</v>
      </c>
      <c r="E11" s="50">
        <f>IF(AND(Lottning!$B$2&gt;0,OR(F11=F10,F11=H10,H11=F10,H11=H10)),C11+Inställningar!$B$3+Inställningar!$B$4,C11+Inställningar!$B$1)</f>
        <v>0.5701388888888889</v>
      </c>
      <c r="F11" s="28" t="str">
        <f>+VLOOKUP(Spelordning!B2,Lottning!$A$1:$B$13,2,FALSE)</f>
        <v>Svalövs BK 1</v>
      </c>
      <c r="G11" s="29" t="s">
        <v>58</v>
      </c>
      <c r="H11" s="28" t="str">
        <f>+VLOOKUP(Spelordning!C2,Lottning!$A$1:$B$13,2,FALSE)</f>
        <v>Furulunds IK</v>
      </c>
      <c r="J11" s="29" t="s">
        <v>58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0.5708333333333333</v>
      </c>
      <c r="D12" s="29" t="s">
        <v>58</v>
      </c>
      <c r="E12" s="50">
        <f>IF(AND(Lottning!$B$2&gt;0,OR(F12=F11,F12=H11,H12=F11,H12=H11)),C12+Inställningar!$B$3+Inställningar!$B$4,C12+Inställningar!$B$1)</f>
        <v>0.5784722222222222</v>
      </c>
      <c r="F12" s="28" t="str">
        <f>+VLOOKUP(Spelordning!B3,Lottning!$A$1:$B$13,2,FALSE)</f>
        <v>BK Landora</v>
      </c>
      <c r="G12" s="29" t="s">
        <v>58</v>
      </c>
      <c r="H12" s="28" t="str">
        <f>+VLOOKUP(Spelordning!C3,Lottning!$A$1:$B$13,2,FALSE)</f>
        <v>Kågeröds BoIF</v>
      </c>
      <c r="J12" s="29" t="s">
        <v>58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0.5791666666666666</v>
      </c>
      <c r="D13" s="29" t="s">
        <v>58</v>
      </c>
      <c r="E13" s="50">
        <f>IF(AND(Lottning!$B$2&gt;0,OR(F13=F12,F13=H12,H13=F12,H13=H12)),C13+Inställningar!$B$3+Inställningar!$B$4,C13+Inställningar!$B$1)</f>
        <v>0.5868055555555555</v>
      </c>
      <c r="F13" s="28" t="str">
        <f>+VLOOKUP(Spelordning!B4,Lottning!$A$1:$B$13,2,FALSE)</f>
        <v>Svalövs BK 2</v>
      </c>
      <c r="G13" s="29" t="s">
        <v>58</v>
      </c>
      <c r="H13" s="28" t="str">
        <f>+VLOOKUP(Spelordning!C4,Lottning!$A$1:$B$13,2,FALSE)</f>
        <v>Kullavägen</v>
      </c>
      <c r="J13" s="29" t="s">
        <v>58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0.5874999999999999</v>
      </c>
      <c r="D14" s="29" t="s">
        <v>58</v>
      </c>
      <c r="E14" s="50">
        <f>IF(AND(Lottning!$B$2&gt;0,OR(F14=F13,F14=H13,H14=F13,H14=H13)),C14+Inställningar!$B$3+Inställningar!$B$4,C14+Inställningar!$B$1)</f>
        <v>0.5951388888888888</v>
      </c>
      <c r="F14" s="28" t="str">
        <f>+VLOOKUP(Spelordning!B5,Lottning!$A$1:$B$13,2,FALSE)</f>
        <v>Kyrkheddinge IF</v>
      </c>
      <c r="G14" s="29" t="s">
        <v>58</v>
      </c>
      <c r="H14" s="28" t="str">
        <f>+VLOOKUP(Spelordning!C5,Lottning!$A$1:$B$13,2,FALSE)</f>
        <v>Borstahusens BK</v>
      </c>
      <c r="J14" s="29" t="s">
        <v>58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0.5958333333333332</v>
      </c>
      <c r="D16" s="29" t="s">
        <v>58</v>
      </c>
      <c r="E16" s="50">
        <f>IF(AND(Lottning!$B$2&gt;0,OR(F16=F15,F16=H15,H16=F15,H16=H15)),C16+Inställningar!$B$3+Inställningar!$B$4,C16+Inställningar!$B$1)</f>
        <v>0.6034722222222221</v>
      </c>
      <c r="F16" s="28" t="str">
        <f>+VLOOKUP(Spelordning!B6,Lottning!$A$1:$B$13,2,FALSE)</f>
        <v>Vakant</v>
      </c>
      <c r="G16" s="29" t="s">
        <v>58</v>
      </c>
      <c r="H16" s="28" t="str">
        <f>+VLOOKUP(Spelordning!C6,Lottning!$A$1:$B$13,2,FALSE)</f>
        <v>Svalövs BK 1</v>
      </c>
      <c r="J16" s="29" t="s">
        <v>58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0.6041666666666665</v>
      </c>
      <c r="D17" s="29" t="s">
        <v>58</v>
      </c>
      <c r="E17" s="50">
        <f>IF(AND(Lottning!$B$2&gt;0,OR(F17=F16,F17=H16,H17=F16,H17=H16)),C17+Inställningar!$B$3+Inställningar!$B$4,C17+Inställningar!$B$1)</f>
        <v>0.6118055555555554</v>
      </c>
      <c r="F17" s="28" t="str">
        <f>+VLOOKUP(Spelordning!B7,Lottning!$A$1:$B$13,2,FALSE)</f>
        <v>Furulunds IK</v>
      </c>
      <c r="G17" s="29" t="s">
        <v>58</v>
      </c>
      <c r="H17" s="28" t="str">
        <f>+VLOOKUP(Spelordning!C7,Lottning!$A$1:$B$13,2,FALSE)</f>
        <v>BK Landora</v>
      </c>
      <c r="J17" s="29" t="s">
        <v>58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A</v>
      </c>
      <c r="C18" s="50">
        <f>IF(AND(Lottning!$B$2&gt;0,OR(F18=F16,F18=H16,H18=F16,H18=H16)),E17+Inställningar!$B$3+Inställningar!$B$4,E17+Inställningar!$B$3)</f>
        <v>0.615972222222222</v>
      </c>
      <c r="D18" s="29" t="s">
        <v>58</v>
      </c>
      <c r="E18" s="50">
        <f>IF(AND(Lottning!$B$2&gt;0,OR(F18=F17,F18=H17,H18=F17,H18=H17)),C18+Inställningar!$B$3+Inställningar!$B$4,C18+Inställningar!$B$1)</f>
        <v>0.6236111111111109</v>
      </c>
      <c r="F18" s="28" t="str">
        <f>+VLOOKUP(Spelordning!B8,Lottning!$A$1:$B$13,2,FALSE)</f>
        <v>Vakant</v>
      </c>
      <c r="G18" s="29" t="s">
        <v>58</v>
      </c>
      <c r="H18" s="28" t="str">
        <f>+VLOOKUP(Spelordning!C8,Lottning!$A$1:$B$13,2,FALSE)</f>
        <v>Svalövs BK 2</v>
      </c>
      <c r="J18" s="29" t="s">
        <v>58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0.6243055555555553</v>
      </c>
      <c r="D19" s="29" t="s">
        <v>58</v>
      </c>
      <c r="E19" s="50">
        <f>IF(AND(Lottning!$B$2&gt;0,OR(F19=F18,F19=H18,H19=F18,H19=H18)),C19+Inställningar!$B$3+Inställningar!$B$4,C19+Inställningar!$B$1)</f>
        <v>0.6319444444444442</v>
      </c>
      <c r="F19" s="28" t="str">
        <f>+VLOOKUP(Spelordning!B9,Lottning!$A$1:$B$13,2,FALSE)</f>
        <v>Kullavägen</v>
      </c>
      <c r="G19" s="29" t="s">
        <v>58</v>
      </c>
      <c r="H19" s="28" t="str">
        <f>+VLOOKUP(Spelordning!C9,Lottning!$A$1:$B$13,2,FALSE)</f>
        <v>Kyrkheddinge IF</v>
      </c>
      <c r="J19" s="29" t="s">
        <v>58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0.6326388888888886</v>
      </c>
      <c r="D21" s="29" t="s">
        <v>58</v>
      </c>
      <c r="E21" s="50">
        <f>IF(AND(Lottning!$B$2&gt;0,OR(F21=F20,F21=H20,H21=F20,H21=H20)),C21+Inställningar!$B$3+Inställningar!$B$4,C21+Inställningar!$B$1)</f>
        <v>0.6402777777777775</v>
      </c>
      <c r="F21" s="28" t="str">
        <f>+VLOOKUP(Spelordning!B10,Lottning!$A$1:$B$13,2,FALSE)</f>
        <v>Kågeröds BoIF</v>
      </c>
      <c r="G21" s="29" t="s">
        <v>58</v>
      </c>
      <c r="H21" s="28" t="str">
        <f>+VLOOKUP(Spelordning!C10,Lottning!$A$1:$B$13,2,FALSE)</f>
        <v>Vakant</v>
      </c>
      <c r="J21" s="29" t="s">
        <v>58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0.6409722222222219</v>
      </c>
      <c r="D22" s="29" t="s">
        <v>58</v>
      </c>
      <c r="E22" s="50">
        <f>IF(AND(Lottning!$B$2&gt;0,OR(F22=F21,F22=H21,H22=F21,H22=H21)),C22+Inställningar!$B$3+Inställningar!$B$4,C22+Inställningar!$B$1)</f>
        <v>0.6486111111111108</v>
      </c>
      <c r="F22" s="28" t="str">
        <f>+VLOOKUP(Spelordning!B11,Lottning!$A$1:$B$13,2,FALSE)</f>
        <v>Svalövs BK 1</v>
      </c>
      <c r="G22" s="29" t="s">
        <v>58</v>
      </c>
      <c r="H22" s="28" t="str">
        <f>+VLOOKUP(Spelordning!C11,Lottning!$A$1:$B$13,2,FALSE)</f>
        <v>BK Landora</v>
      </c>
      <c r="J22" s="29" t="s">
        <v>58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0.6527777777777775</v>
      </c>
      <c r="D23" s="29" t="s">
        <v>58</v>
      </c>
      <c r="E23" s="50">
        <f>IF(AND(Lottning!$B$2&gt;0,OR(F23=F22,F23=H22,H23=F22,H23=H22)),C23+Inställningar!$B$3+Inställningar!$B$4,C23+Inställningar!$B$1)</f>
        <v>0.6604166666666663</v>
      </c>
      <c r="F23" s="28" t="str">
        <f>+VLOOKUP(Spelordning!B12,Lottning!$A$1:$B$13,2,FALSE)</f>
        <v>Borstahusens BK</v>
      </c>
      <c r="G23" s="29" t="s">
        <v>58</v>
      </c>
      <c r="H23" s="28" t="str">
        <f>+VLOOKUP(Spelordning!C12,Lottning!$A$1:$B$13,2,FALSE)</f>
        <v>Vakant</v>
      </c>
      <c r="J23" s="29" t="s">
        <v>58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0.6611111111111108</v>
      </c>
      <c r="D24" s="29" t="s">
        <v>58</v>
      </c>
      <c r="E24" s="50">
        <f>IF(AND(Lottning!$B$2&gt;0,OR(F24=F23,F24=H23,H24=F23,H24=H23)),C24+Inställningar!$B$3+Inställningar!$B$4,C24+Inställningar!$B$1)</f>
        <v>0.6687499999999996</v>
      </c>
      <c r="F24" s="28" t="str">
        <f>+VLOOKUP(Spelordning!B13,Lottning!$A$1:$B$13,2,FALSE)</f>
        <v>Svalövs BK 2</v>
      </c>
      <c r="G24" s="29" t="s">
        <v>58</v>
      </c>
      <c r="H24" s="28" t="str">
        <f>+VLOOKUP(Spelordning!C13,Lottning!$A$1:$B$13,2,FALSE)</f>
        <v>Kyrkheddinge IF</v>
      </c>
      <c r="J24" s="29" t="s">
        <v>58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0.6694444444444441</v>
      </c>
      <c r="D26" s="29" t="s">
        <v>58</v>
      </c>
      <c r="E26" s="50">
        <f>IF(AND(Lottning!$B$2&gt;0,OR(F26=F25,F26=H25,H26=F25,H26=H25)),C26+Inställningar!$B$3+Inställningar!$B$4,C26+Inställningar!$B$1)</f>
        <v>0.6770833333333329</v>
      </c>
      <c r="F26" s="28" t="str">
        <f>+VLOOKUP(Spelordning!B14,Lottning!$A$1:$B$13,2,FALSE)</f>
        <v>Vakant</v>
      </c>
      <c r="G26" s="29" t="s">
        <v>58</v>
      </c>
      <c r="H26" s="28" t="str">
        <f>+VLOOKUP(Spelordning!C14,Lottning!$A$1:$B$13,2,FALSE)</f>
        <v>Furulunds IK</v>
      </c>
      <c r="J26" s="29" t="s">
        <v>58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0.6777777777777774</v>
      </c>
      <c r="D27" s="29" t="s">
        <v>58</v>
      </c>
      <c r="E27" s="50">
        <f>IF(AND(Lottning!$B$2&gt;0,OR(F27=F26,F27=H26,H27=F26,H27=H26)),C27+Inställningar!$B$3+Inställningar!$B$4,C27+Inställningar!$B$1)</f>
        <v>0.6854166666666662</v>
      </c>
      <c r="F27" s="28" t="str">
        <f>+VLOOKUP(Spelordning!B15,Lottning!$A$1:$B$13,2,FALSE)</f>
        <v>Kågeröds BoIF</v>
      </c>
      <c r="G27" s="29" t="s">
        <v>58</v>
      </c>
      <c r="H27" s="28" t="str">
        <f>+VLOOKUP(Spelordning!C15,Lottning!$A$1:$B$13,2,FALSE)</f>
        <v>Svalövs BK 1</v>
      </c>
      <c r="J27" s="29" t="s">
        <v>58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A</v>
      </c>
      <c r="C28" s="50">
        <f>IF(AND(Lottning!$B$2&gt;0,OR(F28=F26,F28=H26,H28=F26,H28=H26)),E27+Inställningar!$B$3+Inställningar!$B$4,E27+Inställningar!$B$3)</f>
        <v>0.6895833333333329</v>
      </c>
      <c r="D28" s="29" t="s">
        <v>58</v>
      </c>
      <c r="E28" s="50">
        <f>IF(AND(Lottning!$B$2&gt;0,OR(F28=F27,F28=H27,H28=F27,H28=H27)),C28+Inställningar!$B$3+Inställningar!$B$4,C28+Inställningar!$B$1)</f>
        <v>0.6972222222222217</v>
      </c>
      <c r="F28" s="28" t="str">
        <f>+VLOOKUP(Spelordning!B16,Lottning!$A$1:$B$13,2,FALSE)</f>
        <v>Vakant</v>
      </c>
      <c r="G28" s="29" t="s">
        <v>58</v>
      </c>
      <c r="H28" s="28" t="str">
        <f>+VLOOKUP(Spelordning!C16,Lottning!$A$1:$B$13,2,FALSE)</f>
        <v>Kullavägen</v>
      </c>
      <c r="J28" s="29" t="s">
        <v>58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0.6979166666666662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0.705555555555555</v>
      </c>
      <c r="F29" s="28" t="str">
        <f>IF(A29="","",(VLOOKUP(Spelordning!B17,Lottning!$A$1:$B$13,2,FALSE)))</f>
        <v>Borstahusens BK</v>
      </c>
      <c r="G29" s="29" t="str">
        <f>IF($A29="","","-")</f>
        <v>-</v>
      </c>
      <c r="H29" s="28" t="str">
        <f>IF(A29="","",(VLOOKUP(Spelordning!C17,Lottning!$A$1:$B$13,2,FALSE)))</f>
        <v>Svalövs BK 2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0.7062499999999995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0.7138888888888884</v>
      </c>
      <c r="F31" s="28" t="str">
        <f>IF(A31="","",(VLOOKUP(Spelordning!B18,Lottning!$A$1:$B$13,2,FALSE)))</f>
        <v>BK Landora</v>
      </c>
      <c r="G31" s="29" t="str">
        <f>IF($A31="","","-")</f>
        <v>-</v>
      </c>
      <c r="H31" s="28" t="str">
        <f>IF(A31="","",(VLOOKUP(Spelordning!C18,Lottning!$A$1:$B$13,2,FALSE)))</f>
        <v>Vakant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0.7145833333333328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0.7222222222222217</v>
      </c>
      <c r="F32" s="28" t="str">
        <f>IF(A32="","",(VLOOKUP(Spelordning!B19,Lottning!$A$1:$B$13,2,FALSE)))</f>
        <v>Furulunds IK</v>
      </c>
      <c r="G32" s="29" t="str">
        <f>IF($A32="","","-")</f>
        <v>-</v>
      </c>
      <c r="H32" s="28" t="str">
        <f>IF(A32="","",(VLOOKUP(Spelordning!C19,Lottning!$A$1:$B$13,2,FALSE)))</f>
        <v>Kågeröds BoIF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0.7263888888888883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0.7340277777777772</v>
      </c>
      <c r="F33" s="28" t="str">
        <f>IF(A33="","",(VLOOKUP(Spelordning!B20,Lottning!$A$1:$B$13,2,FALSE)))</f>
        <v>Kyrkheddinge IF</v>
      </c>
      <c r="G33" s="29" t="str">
        <f>IF($A33="","","-")</f>
        <v>-</v>
      </c>
      <c r="H33" s="28" t="str">
        <f>IF(A33="","",(VLOOKUP(Spelordning!C20,Lottning!$A$1:$B$13,2,FALSE)))</f>
        <v>Vakant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0.7347222222222216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0.7423611111111105</v>
      </c>
      <c r="F34" s="28" t="str">
        <f>IF(A34="","",(VLOOKUP(Spelordning!B21,Lottning!$A$1:$B$13,2,FALSE)))</f>
        <v>Kullavägen</v>
      </c>
      <c r="G34" s="29" t="str">
        <f>IF($A34="","","-")</f>
        <v>-</v>
      </c>
      <c r="H34" s="28" t="str">
        <f>IF(A34="","",(VLOOKUP(Spelordning!C21,Lottning!$A$1:$B$13,2,FALSE)))</f>
        <v>Borstahusens BK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0.7347222222222216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0.7423611111111105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0.7458333333333327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0.7534722222222215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0.754166666666666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0.7618055555555548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0.7652777777777771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0.7729166666666659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0.7736111111111104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0.7812499999999992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0" operator="equal" stopIfTrue="1">
      <formula>C34</formula>
    </cfRule>
  </conditionalFormatting>
  <conditionalFormatting sqref="M1:AV65536">
    <cfRule type="cellIs" priority="2" dxfId="3" operator="equal" stopIfTrue="1">
      <formula>TRUE</formula>
    </cfRule>
  </conditionalFormatting>
  <conditionalFormatting sqref="A11:A14 A16:A19 A21:A24 A26:A29 A31:A34 A36">
    <cfRule type="cellIs" priority="3" dxfId="0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3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3" sqref="F33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5.57421875" style="28" customWidth="1"/>
    <col min="4" max="4" width="1.57421875" style="29" customWidth="1"/>
    <col min="5" max="5" width="5.8515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3.57421875" style="28" customWidth="1"/>
    <col min="10" max="10" width="3.421875" style="30" customWidth="1"/>
    <col min="11" max="11" width="3.14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59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Svalövs BK 1</v>
      </c>
      <c r="G2" s="37"/>
      <c r="H2" s="37" t="str">
        <f>IF(Vakant!G2="VAKANT","",(IF(Vakant!G2&gt;0,Vakant!G2,"")))</f>
        <v>Svalövs BK 2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Furulunds IK</v>
      </c>
      <c r="G3" s="37"/>
      <c r="H3" s="37" t="str">
        <f>IF(Vakant!G3="VAKANT","",(IF(Vakant!G3&gt;0,Vakant!G3,"")))</f>
        <v>Kullavägen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BK Landora</v>
      </c>
      <c r="G4" s="37"/>
      <c r="H4" s="37" t="str">
        <f>IF(Vakant!G4="VAKANT","",(IF(Vakant!G4&gt;0,Vakant!G4,"")))</f>
        <v>Kyrkheddinge IF</v>
      </c>
      <c r="I4" s="38"/>
      <c r="J4" s="28"/>
      <c r="K4" s="28"/>
      <c r="L4" s="124" t="s">
        <v>60</v>
      </c>
    </row>
    <row r="5" spans="1:12" ht="18" customHeight="1">
      <c r="A5" s="33"/>
      <c r="B5" s="33"/>
      <c r="F5" s="37" t="str">
        <f>IF(Vakant!E5="VAKANT","",(IF(Vakant!E5&gt;0,Vakant!E5,"")))</f>
        <v>Kågeröds BoIF</v>
      </c>
      <c r="G5" s="37"/>
      <c r="H5" s="37" t="str">
        <f>IF(Vakant!G5="VAKANT","",(IF(Vakant!G5&gt;0,Vakant!G5,"")))</f>
        <v>Borstahusens BK</v>
      </c>
      <c r="I5" s="38"/>
      <c r="J5" s="28"/>
      <c r="K5" s="28"/>
      <c r="L5" s="124"/>
    </row>
    <row r="6" spans="1:12" ht="18" customHeight="1">
      <c r="A6" s="33"/>
      <c r="B6" s="33"/>
      <c r="F6" s="37">
        <f>IF(Vakant!E6="VAKANT","",(IF(Vakant!E6&gt;0,Vakant!E6,"")))</f>
      </c>
      <c r="G6" s="37"/>
      <c r="H6" s="37">
        <f>IF(Vakant!G6="VAKANT","",(IF(Vakant!G6&gt;0,Vakant!G6,"")))</f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49</v>
      </c>
      <c r="N8" s="31" t="s">
        <v>49</v>
      </c>
      <c r="O8" s="31" t="s">
        <v>49</v>
      </c>
      <c r="P8" s="31" t="s">
        <v>49</v>
      </c>
      <c r="Q8" s="31" t="s">
        <v>49</v>
      </c>
      <c r="R8" s="31" t="s">
        <v>49</v>
      </c>
      <c r="S8" s="31" t="s">
        <v>49</v>
      </c>
      <c r="T8" s="31" t="s">
        <v>49</v>
      </c>
      <c r="U8" s="31" t="s">
        <v>49</v>
      </c>
      <c r="V8" s="31" t="s">
        <v>49</v>
      </c>
      <c r="W8" s="31" t="s">
        <v>49</v>
      </c>
      <c r="X8" s="31" t="s">
        <v>49</v>
      </c>
      <c r="Y8" s="31" t="s">
        <v>50</v>
      </c>
      <c r="Z8" s="31" t="s">
        <v>50</v>
      </c>
      <c r="AA8" s="31" t="s">
        <v>50</v>
      </c>
      <c r="AB8" s="31" t="s">
        <v>50</v>
      </c>
      <c r="AC8" s="31" t="s">
        <v>50</v>
      </c>
      <c r="AD8" s="31" t="s">
        <v>50</v>
      </c>
      <c r="AE8" s="31" t="s">
        <v>50</v>
      </c>
      <c r="AF8" s="31" t="s">
        <v>50</v>
      </c>
      <c r="AG8" s="31" t="s">
        <v>50</v>
      </c>
      <c r="AH8" s="31" t="s">
        <v>50</v>
      </c>
      <c r="AI8" s="31" t="s">
        <v>50</v>
      </c>
      <c r="AJ8" s="31" t="s">
        <v>50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1" t="s">
        <v>51</v>
      </c>
      <c r="AS8" s="31" t="s">
        <v>51</v>
      </c>
      <c r="AT8" s="31" t="s">
        <v>51</v>
      </c>
      <c r="AU8" s="31" t="s">
        <v>51</v>
      </c>
      <c r="AV8" s="31" t="s">
        <v>51</v>
      </c>
      <c r="AW8" s="32" t="s">
        <v>57</v>
      </c>
      <c r="AX8" s="32" t="s">
        <v>61</v>
      </c>
      <c r="AY8" s="32" t="s">
        <v>61</v>
      </c>
    </row>
    <row r="9" spans="1:51" s="41" customFormat="1" ht="18" customHeight="1">
      <c r="A9" s="26" t="str">
        <f>+IF(Vakant!A9&gt;0,Vakant!A9,"")</f>
        <v>Match</v>
      </c>
      <c r="B9" s="26" t="s">
        <v>53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Svalövs BK 1</v>
      </c>
      <c r="N9" s="40" t="str">
        <f>+$F$3</f>
        <v>Furulunds IK</v>
      </c>
      <c r="O9" s="40" t="str">
        <f>+$F$4</f>
        <v>BK Landora</v>
      </c>
      <c r="P9" s="40" t="str">
        <f>+$F$5</f>
        <v>Kågeröds BoIF</v>
      </c>
      <c r="Q9" s="40">
        <f>+$F$6</f>
      </c>
      <c r="R9" s="40">
        <f>+$F$7</f>
      </c>
      <c r="S9" s="40">
        <f>+$F$8</f>
      </c>
      <c r="T9" s="40" t="str">
        <f>+$H$2</f>
        <v>Svalövs BK 2</v>
      </c>
      <c r="U9" s="40" t="str">
        <f>+$H$3</f>
        <v>Kullavägen</v>
      </c>
      <c r="V9" s="40" t="str">
        <f>+$H$4</f>
        <v>Kyrkheddinge IF</v>
      </c>
      <c r="W9" s="40" t="str">
        <f>+$H$5</f>
        <v>Borstahusens BK</v>
      </c>
      <c r="X9" s="40">
        <f>+H$6</f>
      </c>
      <c r="Y9" s="40" t="str">
        <f>+$F$2</f>
        <v>Svalövs BK 1</v>
      </c>
      <c r="Z9" s="40" t="str">
        <f>+$F$3</f>
        <v>Furulunds IK</v>
      </c>
      <c r="AA9" s="40" t="str">
        <f>+$F$4</f>
        <v>BK Landora</v>
      </c>
      <c r="AB9" s="40" t="str">
        <f>+$F$5</f>
        <v>Kågeröds BoIF</v>
      </c>
      <c r="AC9" s="40">
        <f>+$F$6</f>
      </c>
      <c r="AD9" s="40">
        <f>$F$7</f>
      </c>
      <c r="AE9" s="40">
        <f>$F$8</f>
      </c>
      <c r="AF9" s="40" t="str">
        <f>+$H$2</f>
        <v>Svalövs BK 2</v>
      </c>
      <c r="AG9" s="40" t="str">
        <f>+$H$3</f>
        <v>Kullavägen</v>
      </c>
      <c r="AH9" s="40" t="str">
        <f>+$H$4</f>
        <v>Kyrkheddinge IF</v>
      </c>
      <c r="AI9" s="40" t="str">
        <f>+$H$5</f>
        <v>Borstahusens BK</v>
      </c>
      <c r="AJ9" s="40">
        <f>+$H$6</f>
      </c>
      <c r="AK9" s="40" t="str">
        <f>+$F$2</f>
        <v>Svalövs BK 1</v>
      </c>
      <c r="AL9" s="40" t="str">
        <f>+$F$3</f>
        <v>Furulunds IK</v>
      </c>
      <c r="AM9" s="40" t="str">
        <f>+$F$4</f>
        <v>BK Landora</v>
      </c>
      <c r="AN9" s="40" t="str">
        <f>+$F$5</f>
        <v>Kågeröds BoIF</v>
      </c>
      <c r="AO9" s="40">
        <f>+$F$6</f>
      </c>
      <c r="AP9" s="40">
        <f>F7</f>
      </c>
      <c r="AQ9" s="40">
        <f>F8</f>
      </c>
      <c r="AR9" s="40" t="str">
        <f>+$H$2</f>
        <v>Svalövs BK 2</v>
      </c>
      <c r="AS9" s="40" t="str">
        <f>+$H$3</f>
        <v>Kullavägen</v>
      </c>
      <c r="AT9" s="40" t="str">
        <f>+$H$4</f>
        <v>Kyrkheddinge IF</v>
      </c>
      <c r="AU9" s="40" t="str">
        <f>+$H$5</f>
        <v>Borstahusens BK</v>
      </c>
      <c r="AV9" s="40">
        <f>+$H$6</f>
      </c>
      <c r="AX9" s="41" t="s">
        <v>62</v>
      </c>
      <c r="AY9" s="41" t="s">
        <v>63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0.5625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0.5701388888888889</v>
      </c>
      <c r="F10" s="28" t="str">
        <f>IF(OR(AND(A10&lt;=21,A10&gt;0)),(VLOOKUP(A10,Vakant!$A$10:$G$51,5,FALSE)),"")</f>
        <v>Svalövs BK 1</v>
      </c>
      <c r="G10" s="29" t="str">
        <f>+IF((OR(AND(A10&lt;=21,A10&gt;0))),"-","")</f>
        <v>-</v>
      </c>
      <c r="H10" s="28" t="str">
        <f>+IF(OR(AND(A10&lt;=21,A10&gt;0)),(VLOOKUP(A10,Vakant!$A$10:$G$51,7,FALSE)),"")</f>
        <v>Furulunds IK</v>
      </c>
      <c r="I10" s="30">
        <v>0</v>
      </c>
      <c r="J10" s="29" t="str">
        <f aca="true" t="shared" si="0" ref="J10:J36">+IF((OR(AND(A10&lt;=21,A10&gt;0))),"-","")</f>
        <v>-</v>
      </c>
      <c r="K10" s="30">
        <v>0</v>
      </c>
      <c r="L10" s="30" t="s">
        <v>87</v>
      </c>
      <c r="M10" s="31" t="b">
        <f>IF(AW10=TRUE,(OR(AND(M$9=$F10,$I10&gt;$K10,AW10=TRUE),AND(M$9=$H10,$K10&gt;$I10,AW10=TRUE))),0)</f>
        <v>0</v>
      </c>
      <c r="N10" s="31" t="b">
        <f>IF(AW10=TRUE,(OR(AND(N$9=$F10,$I10&gt;$K10,AW10=TRUE),AND(N$9=$H10,$K10&gt;$I10,AW10=TRUE))),0)</f>
        <v>0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0</v>
      </c>
      <c r="Z10" s="31" t="b">
        <f>IF(AW10=TRUE,(OR(AND(Z$9=$F10,$I10&lt;$K10,AW10=TRUE),AND(Z$9=$H10,$K10&lt;$I10,AW10=TRUE))),0)</f>
        <v>0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1</v>
      </c>
      <c r="AL10" s="31" t="b">
        <f>IF(AW10=TRUE,(OR(AND(AL$9=$F10,$I10=$K10,AW10=TRUE),AND(AL$9=$H10,$K10=$I10,AW10=TRUE))),0)</f>
        <v>1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0.5708333333333333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0.5784722222222222</v>
      </c>
      <c r="F11" s="28" t="str">
        <f>IF(OR(AND(A11&lt;=21,A11&gt;0)),(VLOOKUP(A11,Vakant!$A$10:$G$51,5,FALSE)),"")</f>
        <v>BK Landora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Kågeröds BoIF</v>
      </c>
      <c r="I11" s="30">
        <v>1</v>
      </c>
      <c r="J11" s="29" t="str">
        <f t="shared" si="0"/>
        <v>-</v>
      </c>
      <c r="K11" s="30">
        <v>0</v>
      </c>
      <c r="L11" s="30" t="s">
        <v>87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1</v>
      </c>
      <c r="P11" s="31" t="b">
        <f aca="true" t="shared" si="5" ref="P11:P37">IF(AW11=TRUE,(OR(AND(P$9=$F11,$I11&gt;$K11,AW11=TRUE),AND(P$9=$H11,$K11&gt;$I11,AW11=TRUE))),0)</f>
        <v>0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0</v>
      </c>
      <c r="AB11" s="31" t="b">
        <f aca="true" t="shared" si="17" ref="AB11:AB37">IF(AW11=TRUE,(OR(AND(AB$9=$F11,$I11&lt;$K11,AW11=TRUE),AND(AB$9=$H11,$K11&lt;$I11,AW11=TRUE))),0)</f>
        <v>1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0</v>
      </c>
      <c r="AN11" s="31" t="b">
        <f aca="true" t="shared" si="29" ref="AN11:AN37">IF(AW11=TRUE,(OR(AND(AN$9=$F11,$I11=$K11,AW11=TRUE),AND(AN$9=$H11,$K11=$I11,AW11=TRUE))),0)</f>
        <v>0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0.5791666666666666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0.5868055555555555</v>
      </c>
      <c r="F12" s="28" t="str">
        <f>IF(OR(AND(A12&lt;=21,A12&gt;0)),(VLOOKUP(A12,Vakant!$A$10:$G$51,5,FALSE)),"")</f>
        <v>Svalövs BK 2</v>
      </c>
      <c r="G12" s="29" t="str">
        <f t="shared" si="1"/>
        <v>-</v>
      </c>
      <c r="H12" s="28" t="str">
        <f>+IF(OR(AND(A12&lt;=21,A12&gt;0)),(VLOOKUP(A12,Vakant!$A$10:$G$51,7,FALSE)),"")</f>
        <v>Kullavägen</v>
      </c>
      <c r="I12" s="30">
        <v>3</v>
      </c>
      <c r="J12" s="29" t="str">
        <f t="shared" si="0"/>
        <v>-</v>
      </c>
      <c r="K12" s="30">
        <v>0</v>
      </c>
      <c r="L12" s="30" t="s">
        <v>87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0</v>
      </c>
      <c r="S12" s="31" t="b">
        <f t="shared" si="8"/>
        <v>0</v>
      </c>
      <c r="T12" s="31" t="b">
        <f t="shared" si="9"/>
        <v>1</v>
      </c>
      <c r="U12" s="31" t="b">
        <f t="shared" si="10"/>
        <v>0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0</v>
      </c>
      <c r="AD12" s="31" t="b">
        <f t="shared" si="19"/>
        <v>0</v>
      </c>
      <c r="AE12" s="31" t="b">
        <f t="shared" si="20"/>
        <v>0</v>
      </c>
      <c r="AF12" s="31" t="b">
        <f t="shared" si="21"/>
        <v>0</v>
      </c>
      <c r="AG12" s="31" t="b">
        <f t="shared" si="22"/>
        <v>1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0.5874999999999999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0.5951388888888888</v>
      </c>
      <c r="F13" s="28" t="str">
        <f>IF(OR(AND(A13&lt;=21,A13&gt;0)),(VLOOKUP(A13,Vakant!$A$10:$G$51,5,FALSE)),"")</f>
        <v>Kyrkheddinge IF</v>
      </c>
      <c r="G13" s="29" t="str">
        <f t="shared" si="1"/>
        <v>-</v>
      </c>
      <c r="H13" s="28" t="str">
        <f>+IF(OR(AND(A13&lt;=21,A13&gt;0)),(VLOOKUP(A13,Vakant!$A$10:$G$51,7,FALSE)),"")</f>
        <v>Borstahusens BK</v>
      </c>
      <c r="I13" s="30">
        <v>0</v>
      </c>
      <c r="J13" s="29" t="str">
        <f t="shared" si="0"/>
        <v>-</v>
      </c>
      <c r="K13" s="30">
        <v>0</v>
      </c>
      <c r="L13" s="51" t="s">
        <v>87</v>
      </c>
      <c r="M13" s="31" t="b">
        <f t="shared" si="2"/>
        <v>0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0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0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0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1</v>
      </c>
      <c r="AU13" s="31" t="b">
        <f t="shared" si="36"/>
        <v>1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0.5874999999999999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0.5951388888888888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6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0.5958333333333332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0.6034722222222221</v>
      </c>
      <c r="F15" s="28" t="str">
        <f>IF(OR(AND(A15&lt;=21,A15&gt;0)),(VLOOKUP(A15,Vakant!$A$10:$G$51,5,FALSE)),"")</f>
        <v>Furulunds IK</v>
      </c>
      <c r="G15" s="29" t="str">
        <f t="shared" si="1"/>
        <v>-</v>
      </c>
      <c r="H15" s="28" t="str">
        <f>+IF(OR(AND(A15&lt;=21,A15&gt;0)),(VLOOKUP(A15,Vakant!$A$10:$G$51,7,FALSE)),"")</f>
        <v>BK Landora</v>
      </c>
      <c r="I15" s="30">
        <v>1</v>
      </c>
      <c r="J15" s="29" t="str">
        <f t="shared" si="0"/>
        <v>-</v>
      </c>
      <c r="K15" s="30">
        <v>4</v>
      </c>
      <c r="L15" s="51" t="s">
        <v>87</v>
      </c>
      <c r="M15" s="31" t="b">
        <f t="shared" si="2"/>
        <v>0</v>
      </c>
      <c r="N15" s="31" t="b">
        <f t="shared" si="3"/>
        <v>0</v>
      </c>
      <c r="O15" s="31" t="b">
        <f t="shared" si="4"/>
        <v>1</v>
      </c>
      <c r="P15" s="31" t="b">
        <f t="shared" si="5"/>
        <v>0</v>
      </c>
      <c r="Q15" s="31" t="b">
        <f t="shared" si="6"/>
        <v>0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0</v>
      </c>
      <c r="Z15" s="31" t="b">
        <f t="shared" si="15"/>
        <v>1</v>
      </c>
      <c r="AA15" s="31" t="b">
        <f t="shared" si="16"/>
        <v>0</v>
      </c>
      <c r="AB15" s="31" t="b">
        <f t="shared" si="17"/>
        <v>0</v>
      </c>
      <c r="AC15" s="31" t="b">
        <f t="shared" si="18"/>
        <v>0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0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0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8</v>
      </c>
      <c r="B16" s="48" t="str">
        <f>+IF(AND(A16&gt;0,A16&lt;=21),VLOOKUP(F16,Grupper!$B$1:$C$12,2,FALSE),"")</f>
        <v>B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0.6041666666666665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0.6118055555555554</v>
      </c>
      <c r="F16" s="28" t="str">
        <f>IF(OR(AND(A16&lt;=21,A16&gt;0)),(VLOOKUP(A16,Vakant!$A$10:$G$51,5,FALSE)),"")</f>
        <v>Kullavägen</v>
      </c>
      <c r="G16" s="29" t="str">
        <f t="shared" si="1"/>
        <v>-</v>
      </c>
      <c r="H16" s="28" t="str">
        <f>+IF(OR(AND(A16&lt;=21,A16&gt;0)),(VLOOKUP(A16,Vakant!$A$10:$G$51,7,FALSE)),"")</f>
        <v>Kyrkheddinge IF</v>
      </c>
      <c r="I16" s="30">
        <v>0</v>
      </c>
      <c r="J16" s="29" t="str">
        <f t="shared" si="0"/>
        <v>-</v>
      </c>
      <c r="K16" s="30">
        <v>3</v>
      </c>
      <c r="L16" s="51" t="s">
        <v>87</v>
      </c>
      <c r="M16" s="31" t="b">
        <f t="shared" si="2"/>
        <v>0</v>
      </c>
      <c r="N16" s="31" t="b">
        <f t="shared" si="3"/>
        <v>0</v>
      </c>
      <c r="O16" s="31" t="b">
        <f t="shared" si="4"/>
        <v>0</v>
      </c>
      <c r="P16" s="31" t="b">
        <f t="shared" si="5"/>
        <v>0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0</v>
      </c>
      <c r="V16" s="31" t="b">
        <f t="shared" si="11"/>
        <v>1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0</v>
      </c>
      <c r="AA16" s="31" t="b">
        <f t="shared" si="16"/>
        <v>0</v>
      </c>
      <c r="AB16" s="31" t="b">
        <f t="shared" si="17"/>
        <v>0</v>
      </c>
      <c r="AC16" s="31" t="b">
        <f t="shared" si="18"/>
        <v>0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1</v>
      </c>
      <c r="AH16" s="31" t="b">
        <f t="shared" si="23"/>
        <v>0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0</v>
      </c>
      <c r="AM16" s="31" t="b">
        <f t="shared" si="28"/>
        <v>0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0</v>
      </c>
      <c r="B17" s="48">
        <f>+IF(AND(A17&gt;0,A17&lt;=21),VLOOKUP(F17,Grupper!$B$1:$C$12,2,FALSE),"")</f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0.6041666666666665</v>
      </c>
      <c r="D17" s="50">
        <f t="shared" si="39"/>
      </c>
      <c r="E17" s="50">
        <f>IF(OR(AND(A17&gt;0,F17=F16),AND(A17&gt;0,F17=H16),AND(A17&gt;0,H17=H16),AND(A17&gt;0,H17=F16)),(IF(OR(A17&lt;=21),C17+Inställningar!$B$1,E16)),(IF(OR(AND(A17&gt;0,A17&lt;=21)),C17+Inställningar!$B$1,E16)))</f>
        <v>0.6118055555555554</v>
      </c>
      <c r="F17" s="28">
        <f>IF(OR(AND(A17&lt;=21,A17&gt;0)),(VLOOKUP(A17,Vakant!$A$10:$G$51,5,FALSE)),"")</f>
      </c>
      <c r="G17" s="29">
        <f t="shared" si="1"/>
      </c>
      <c r="H17" s="28">
        <f>+IF(OR(AND(A17&lt;=21,A17&gt;0)),(VLOOKUP(A17,Vakant!$A$10:$G$51,7,FALSE)),"")</f>
      </c>
      <c r="I17" s="30"/>
      <c r="J17" s="29">
        <f t="shared" si="0"/>
      </c>
      <c r="L17" s="51"/>
      <c r="M17" s="31">
        <f t="shared" si="2"/>
        <v>0</v>
      </c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1">
        <f t="shared" si="11"/>
        <v>0</v>
      </c>
      <c r="W17" s="31">
        <f t="shared" si="12"/>
        <v>0</v>
      </c>
      <c r="X17" s="31">
        <f t="shared" si="13"/>
        <v>0</v>
      </c>
      <c r="Y17" s="31">
        <f t="shared" si="14"/>
        <v>0</v>
      </c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31">
        <f t="shared" si="18"/>
        <v>0</v>
      </c>
      <c r="AD17" s="31">
        <f t="shared" si="19"/>
        <v>0</v>
      </c>
      <c r="AE17" s="31">
        <f t="shared" si="20"/>
        <v>0</v>
      </c>
      <c r="AF17" s="31">
        <f t="shared" si="21"/>
        <v>0</v>
      </c>
      <c r="AG17" s="31">
        <f t="shared" si="22"/>
        <v>0</v>
      </c>
      <c r="AH17" s="31">
        <f t="shared" si="23"/>
        <v>0</v>
      </c>
      <c r="AI17" s="31">
        <f t="shared" si="24"/>
        <v>0</v>
      </c>
      <c r="AJ17" s="31">
        <f t="shared" si="25"/>
        <v>0</v>
      </c>
      <c r="AK17" s="31">
        <f t="shared" si="26"/>
        <v>0</v>
      </c>
      <c r="AL17" s="31">
        <f t="shared" si="27"/>
        <v>0</v>
      </c>
      <c r="AM17" s="31">
        <f t="shared" si="28"/>
        <v>0</v>
      </c>
      <c r="AN17" s="31">
        <f t="shared" si="29"/>
        <v>0</v>
      </c>
      <c r="AO17" s="31">
        <f t="shared" si="30"/>
        <v>0</v>
      </c>
      <c r="AP17" s="31">
        <f t="shared" si="31"/>
        <v>0</v>
      </c>
      <c r="AQ17" s="31">
        <f t="shared" si="32"/>
        <v>0</v>
      </c>
      <c r="AR17" s="31">
        <f t="shared" si="33"/>
        <v>0</v>
      </c>
      <c r="AS17" s="31">
        <f t="shared" si="34"/>
        <v>0</v>
      </c>
      <c r="AT17" s="31">
        <f t="shared" si="35"/>
        <v>0</v>
      </c>
      <c r="AU17" s="31">
        <f t="shared" si="36"/>
        <v>0</v>
      </c>
      <c r="AV17" s="31">
        <f t="shared" si="37"/>
        <v>0</v>
      </c>
      <c r="AW17" s="32" t="b">
        <f t="shared" si="38"/>
        <v>0</v>
      </c>
    </row>
    <row r="18" spans="1:49" ht="18" customHeight="1">
      <c r="A18" s="48">
        <f>+IF(AND(Vakant!AX18&lt;=21,Vakant!BC18&gt;0),Vakant!BC18,0)</f>
        <v>10</v>
      </c>
      <c r="B18" s="48" t="str">
        <f>+IF(AND(A18&gt;0,A18&lt;=21),VLOOKUP(F18,Grupper!$B$1:$C$12,2,FALSE),"")</f>
        <v>A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0.6124999999999998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0.6201388888888887</v>
      </c>
      <c r="F18" s="28" t="str">
        <f>IF(OR(AND(A18&lt;=21,A18&gt;0)),(VLOOKUP(A18,Vakant!$A$10:$G$51,5,FALSE)),"")</f>
        <v>Svalövs BK 1</v>
      </c>
      <c r="G18" s="29" t="str">
        <f t="shared" si="1"/>
        <v>-</v>
      </c>
      <c r="H18" s="28" t="str">
        <f>+IF(OR(AND(A18&lt;=21,A18&gt;0)),(VLOOKUP(A18,Vakant!$A$10:$G$51,7,FALSE)),"")</f>
        <v>BK Landora</v>
      </c>
      <c r="I18" s="30">
        <v>1</v>
      </c>
      <c r="J18" s="29" t="str">
        <f t="shared" si="0"/>
        <v>-</v>
      </c>
      <c r="K18" s="30">
        <v>1</v>
      </c>
      <c r="L18" s="51" t="s">
        <v>87</v>
      </c>
      <c r="M18" s="31" t="b">
        <f t="shared" si="2"/>
        <v>0</v>
      </c>
      <c r="N18" s="31" t="b">
        <f t="shared" si="3"/>
        <v>0</v>
      </c>
      <c r="O18" s="31" t="b">
        <f t="shared" si="4"/>
        <v>0</v>
      </c>
      <c r="P18" s="31" t="b">
        <f t="shared" si="5"/>
        <v>0</v>
      </c>
      <c r="Q18" s="31" t="b">
        <f t="shared" si="6"/>
        <v>0</v>
      </c>
      <c r="R18" s="31" t="b">
        <f t="shared" si="7"/>
        <v>0</v>
      </c>
      <c r="S18" s="31" t="b">
        <f t="shared" si="8"/>
        <v>0</v>
      </c>
      <c r="T18" s="31" t="b">
        <f t="shared" si="9"/>
        <v>0</v>
      </c>
      <c r="U18" s="31" t="b">
        <f t="shared" si="10"/>
        <v>0</v>
      </c>
      <c r="V18" s="31" t="b">
        <f t="shared" si="11"/>
        <v>0</v>
      </c>
      <c r="W18" s="31" t="b">
        <f t="shared" si="12"/>
        <v>0</v>
      </c>
      <c r="X18" s="31" t="b">
        <f t="shared" si="13"/>
        <v>0</v>
      </c>
      <c r="Y18" s="31" t="b">
        <f t="shared" si="14"/>
        <v>0</v>
      </c>
      <c r="Z18" s="31" t="b">
        <f t="shared" si="15"/>
        <v>0</v>
      </c>
      <c r="AA18" s="31" t="b">
        <f t="shared" si="16"/>
        <v>0</v>
      </c>
      <c r="AB18" s="31" t="b">
        <f t="shared" si="17"/>
        <v>0</v>
      </c>
      <c r="AC18" s="31" t="b">
        <f t="shared" si="18"/>
        <v>0</v>
      </c>
      <c r="AD18" s="31" t="b">
        <f t="shared" si="19"/>
        <v>0</v>
      </c>
      <c r="AE18" s="31" t="b">
        <f t="shared" si="20"/>
        <v>0</v>
      </c>
      <c r="AF18" s="31" t="b">
        <f t="shared" si="21"/>
        <v>0</v>
      </c>
      <c r="AG18" s="31" t="b">
        <f t="shared" si="22"/>
        <v>0</v>
      </c>
      <c r="AH18" s="31" t="b">
        <f t="shared" si="23"/>
        <v>0</v>
      </c>
      <c r="AI18" s="31" t="b">
        <f t="shared" si="24"/>
        <v>0</v>
      </c>
      <c r="AJ18" s="31" t="b">
        <f t="shared" si="25"/>
        <v>0</v>
      </c>
      <c r="AK18" s="31" t="b">
        <f t="shared" si="26"/>
        <v>1</v>
      </c>
      <c r="AL18" s="31" t="b">
        <f t="shared" si="27"/>
        <v>0</v>
      </c>
      <c r="AM18" s="31" t="b">
        <f t="shared" si="28"/>
        <v>1</v>
      </c>
      <c r="AN18" s="31" t="b">
        <f t="shared" si="29"/>
        <v>0</v>
      </c>
      <c r="AO18" s="31" t="b">
        <f t="shared" si="30"/>
        <v>0</v>
      </c>
      <c r="AP18" s="31" t="b">
        <f t="shared" si="31"/>
        <v>0</v>
      </c>
      <c r="AQ18" s="31" t="b">
        <f t="shared" si="32"/>
        <v>0</v>
      </c>
      <c r="AR18" s="31" t="b">
        <f t="shared" si="33"/>
        <v>0</v>
      </c>
      <c r="AS18" s="31" t="b">
        <f t="shared" si="34"/>
        <v>0</v>
      </c>
      <c r="AT18" s="31" t="b">
        <f t="shared" si="35"/>
        <v>0</v>
      </c>
      <c r="AU18" s="31" t="b">
        <f t="shared" si="36"/>
        <v>0</v>
      </c>
      <c r="AV18" s="31" t="b">
        <f t="shared" si="37"/>
        <v>0</v>
      </c>
      <c r="AW18" s="32" t="b">
        <f t="shared" si="38"/>
        <v>1</v>
      </c>
    </row>
    <row r="19" spans="1:49" ht="18" customHeight="1">
      <c r="A19" s="48">
        <f>+IF(AND(Vakant!AX19&lt;=21,Vakant!BC19&gt;0),Vakant!BC19,0)</f>
        <v>12</v>
      </c>
      <c r="B19" s="48" t="str">
        <f>+IF(AND(A19&gt;0,A19&lt;=21),VLOOKUP(F19,Grupper!$B$1:$C$12,2,FALSE),"")</f>
        <v>B</v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0.6208333333333331</v>
      </c>
      <c r="D19" s="50" t="str">
        <f t="shared" si="39"/>
        <v>-</v>
      </c>
      <c r="E19" s="50">
        <f>IF(OR(AND(A19&gt;0,F19=F18),AND(A19&gt;0,F19=H18),AND(A19&gt;0,H19=H18),AND(A19&gt;0,H19=F18)),(IF(OR(A19&lt;=21),C19+Inställningar!$B$1,E18)),(IF(OR(AND(A19&gt;0,A19&lt;=21)),C19+Inställningar!$B$1,E18)))</f>
        <v>0.628472222222222</v>
      </c>
      <c r="F19" s="28" t="str">
        <f>IF(OR(AND(A19&lt;=21,A19&gt;0)),(VLOOKUP(A19,Vakant!$A$10:$G$51,5,FALSE)),"")</f>
        <v>Svalövs BK 2</v>
      </c>
      <c r="G19" s="29" t="str">
        <f t="shared" si="1"/>
        <v>-</v>
      </c>
      <c r="H19" s="28" t="str">
        <f>+IF(OR(AND(A19&lt;=21,A19&gt;0)),(VLOOKUP(A19,Vakant!$A$10:$G$51,7,FALSE)),"")</f>
        <v>Kyrkheddinge IF</v>
      </c>
      <c r="I19" s="30">
        <v>0</v>
      </c>
      <c r="J19" s="29" t="str">
        <f t="shared" si="0"/>
        <v>-</v>
      </c>
      <c r="K19" s="30">
        <v>1</v>
      </c>
      <c r="L19" s="30" t="s">
        <v>87</v>
      </c>
      <c r="M19" s="31" t="b">
        <f t="shared" si="2"/>
        <v>0</v>
      </c>
      <c r="N19" s="31" t="b">
        <f t="shared" si="3"/>
        <v>0</v>
      </c>
      <c r="O19" s="31" t="b">
        <f t="shared" si="4"/>
        <v>0</v>
      </c>
      <c r="P19" s="31" t="b">
        <f t="shared" si="5"/>
        <v>0</v>
      </c>
      <c r="Q19" s="31" t="b">
        <f t="shared" si="6"/>
        <v>0</v>
      </c>
      <c r="R19" s="31" t="b">
        <f t="shared" si="7"/>
        <v>0</v>
      </c>
      <c r="S19" s="31" t="b">
        <f t="shared" si="8"/>
        <v>0</v>
      </c>
      <c r="T19" s="31" t="b">
        <f t="shared" si="9"/>
        <v>0</v>
      </c>
      <c r="U19" s="31" t="b">
        <f t="shared" si="10"/>
        <v>0</v>
      </c>
      <c r="V19" s="31" t="b">
        <f t="shared" si="11"/>
        <v>1</v>
      </c>
      <c r="W19" s="31" t="b">
        <f t="shared" si="12"/>
        <v>0</v>
      </c>
      <c r="X19" s="31" t="b">
        <f t="shared" si="13"/>
        <v>0</v>
      </c>
      <c r="Y19" s="31" t="b">
        <f t="shared" si="14"/>
        <v>0</v>
      </c>
      <c r="Z19" s="31" t="b">
        <f t="shared" si="15"/>
        <v>0</v>
      </c>
      <c r="AA19" s="31" t="b">
        <f t="shared" si="16"/>
        <v>0</v>
      </c>
      <c r="AB19" s="31" t="b">
        <f t="shared" si="17"/>
        <v>0</v>
      </c>
      <c r="AC19" s="31" t="b">
        <f t="shared" si="18"/>
        <v>0</v>
      </c>
      <c r="AD19" s="31" t="b">
        <f t="shared" si="19"/>
        <v>0</v>
      </c>
      <c r="AE19" s="31" t="b">
        <f t="shared" si="20"/>
        <v>0</v>
      </c>
      <c r="AF19" s="31" t="b">
        <f t="shared" si="21"/>
        <v>1</v>
      </c>
      <c r="AG19" s="31" t="b">
        <f t="shared" si="22"/>
        <v>0</v>
      </c>
      <c r="AH19" s="31" t="b">
        <f t="shared" si="23"/>
        <v>0</v>
      </c>
      <c r="AI19" s="31" t="b">
        <f t="shared" si="24"/>
        <v>0</v>
      </c>
      <c r="AJ19" s="31" t="b">
        <f t="shared" si="25"/>
        <v>0</v>
      </c>
      <c r="AK19" s="31" t="b">
        <f t="shared" si="26"/>
        <v>0</v>
      </c>
      <c r="AL19" s="31" t="b">
        <f t="shared" si="27"/>
        <v>0</v>
      </c>
      <c r="AM19" s="31" t="b">
        <f t="shared" si="28"/>
        <v>0</v>
      </c>
      <c r="AN19" s="31" t="b">
        <f t="shared" si="29"/>
        <v>0</v>
      </c>
      <c r="AO19" s="31" t="b">
        <f t="shared" si="30"/>
        <v>0</v>
      </c>
      <c r="AP19" s="31" t="b">
        <f t="shared" si="31"/>
        <v>0</v>
      </c>
      <c r="AQ19" s="31" t="b">
        <f t="shared" si="32"/>
        <v>0</v>
      </c>
      <c r="AR19" s="31" t="b">
        <f t="shared" si="33"/>
        <v>0</v>
      </c>
      <c r="AS19" s="31" t="b">
        <f t="shared" si="34"/>
        <v>0</v>
      </c>
      <c r="AT19" s="31" t="b">
        <f t="shared" si="35"/>
        <v>0</v>
      </c>
      <c r="AU19" s="31" t="b">
        <f t="shared" si="36"/>
        <v>0</v>
      </c>
      <c r="AV19" s="31" t="b">
        <f t="shared" si="37"/>
        <v>0</v>
      </c>
      <c r="AW19" s="32" t="b">
        <f t="shared" si="38"/>
        <v>1</v>
      </c>
    </row>
    <row r="20" spans="1:49" ht="18" customHeight="1">
      <c r="A20" s="48">
        <f>+IF(AND(Vakant!AX20&lt;=21,Vakant!BC20&gt;0),Vakant!BC20,0)</f>
        <v>0</v>
      </c>
      <c r="B20" s="48">
        <f>+IF(AND(A20&gt;0,A20&lt;=21),VLOOKUP(F20,Grupper!$B$1:$C$12,2,FALSE),"")</f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0.6208333333333331</v>
      </c>
      <c r="D20" s="50">
        <f t="shared" si="39"/>
      </c>
      <c r="E20" s="50">
        <f>IF(OR(AND(A20&gt;0,F20=F19),AND(A20&gt;0,F20=H19),AND(A20&gt;0,H20=H19),AND(A20&gt;0,H20=F19)),(IF(OR(A20&lt;=21),C20+Inställningar!$B$1,E19)),(IF(OR(AND(A20&gt;0,A20&lt;=21)),C20+Inställningar!$B$1,E19)))</f>
        <v>0.628472222222222</v>
      </c>
      <c r="F20" s="28">
        <f>IF(OR(AND(A20&lt;=21,A20&gt;0)),(VLOOKUP(A20,Vakant!$A$10:$G$51,5,FALSE)),"")</f>
      </c>
      <c r="G20" s="29">
        <f t="shared" si="1"/>
      </c>
      <c r="H20" s="28">
        <f>+IF(OR(AND(A20&lt;=21,A20&gt;0)),(VLOOKUP(A20,Vakant!$A$10:$G$51,7,FALSE)),"")</f>
      </c>
      <c r="I20" s="30"/>
      <c r="J20" s="29">
        <f t="shared" si="0"/>
      </c>
      <c r="L20" s="51"/>
      <c r="M20" s="31">
        <f t="shared" si="2"/>
        <v>0</v>
      </c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1">
        <f t="shared" si="11"/>
        <v>0</v>
      </c>
      <c r="W20" s="31">
        <f t="shared" si="12"/>
        <v>0</v>
      </c>
      <c r="X20" s="31">
        <f t="shared" si="13"/>
        <v>0</v>
      </c>
      <c r="Y20" s="31">
        <f t="shared" si="14"/>
        <v>0</v>
      </c>
      <c r="Z20" s="31">
        <f t="shared" si="15"/>
        <v>0</v>
      </c>
      <c r="AA20" s="31">
        <f t="shared" si="16"/>
        <v>0</v>
      </c>
      <c r="AB20" s="31">
        <f t="shared" si="17"/>
        <v>0</v>
      </c>
      <c r="AC20" s="31">
        <f t="shared" si="18"/>
        <v>0</v>
      </c>
      <c r="AD20" s="31">
        <f t="shared" si="19"/>
        <v>0</v>
      </c>
      <c r="AE20" s="31">
        <f t="shared" si="20"/>
        <v>0</v>
      </c>
      <c r="AF20" s="31">
        <f t="shared" si="21"/>
        <v>0</v>
      </c>
      <c r="AG20" s="31">
        <f t="shared" si="22"/>
        <v>0</v>
      </c>
      <c r="AH20" s="31">
        <f t="shared" si="23"/>
        <v>0</v>
      </c>
      <c r="AI20" s="31">
        <f t="shared" si="24"/>
        <v>0</v>
      </c>
      <c r="AJ20" s="31">
        <f t="shared" si="25"/>
        <v>0</v>
      </c>
      <c r="AK20" s="31">
        <f t="shared" si="26"/>
        <v>0</v>
      </c>
      <c r="AL20" s="31">
        <f t="shared" si="27"/>
        <v>0</v>
      </c>
      <c r="AM20" s="31">
        <f t="shared" si="28"/>
        <v>0</v>
      </c>
      <c r="AN20" s="31">
        <f t="shared" si="29"/>
        <v>0</v>
      </c>
      <c r="AO20" s="31">
        <f t="shared" si="30"/>
        <v>0</v>
      </c>
      <c r="AP20" s="31">
        <f t="shared" si="31"/>
        <v>0</v>
      </c>
      <c r="AQ20" s="31">
        <f t="shared" si="32"/>
        <v>0</v>
      </c>
      <c r="AR20" s="31">
        <f t="shared" si="33"/>
        <v>0</v>
      </c>
      <c r="AS20" s="31">
        <f t="shared" si="34"/>
        <v>0</v>
      </c>
      <c r="AT20" s="31">
        <f t="shared" si="35"/>
        <v>0</v>
      </c>
      <c r="AU20" s="31">
        <f t="shared" si="36"/>
        <v>0</v>
      </c>
      <c r="AV20" s="31">
        <f t="shared" si="37"/>
        <v>0</v>
      </c>
      <c r="AW20" s="32" t="b">
        <f t="shared" si="38"/>
        <v>0</v>
      </c>
    </row>
    <row r="21" spans="1:49" ht="18" customHeight="1">
      <c r="A21" s="48">
        <f>+IF(AND(Vakant!AX21&lt;=21,Vakant!BC21&gt;0),Vakant!BC21,0)</f>
        <v>14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0.6291666666666664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0.6368055555555553</v>
      </c>
      <c r="F21" s="28" t="str">
        <f>IF(OR(AND(A21&lt;=21,A21&gt;0)),(VLOOKUP(A21,Vakant!$A$10:$G$51,5,FALSE)),"")</f>
        <v>Kågeröds BoIF</v>
      </c>
      <c r="G21" s="29" t="str">
        <f t="shared" si="1"/>
        <v>-</v>
      </c>
      <c r="H21" s="28" t="str">
        <f>+IF(OR(AND(A21&lt;=21,A21&gt;0)),(VLOOKUP(A21,Vakant!$A$10:$G$51,7,FALSE)),"")</f>
        <v>Svalövs BK 1</v>
      </c>
      <c r="I21" s="30">
        <v>4</v>
      </c>
      <c r="J21" s="29" t="str">
        <f t="shared" si="0"/>
        <v>-</v>
      </c>
      <c r="K21" s="30">
        <v>0</v>
      </c>
      <c r="L21" s="51" t="s">
        <v>87</v>
      </c>
      <c r="M21" s="31" t="b">
        <f t="shared" si="2"/>
        <v>0</v>
      </c>
      <c r="N21" s="31" t="b">
        <f t="shared" si="3"/>
        <v>0</v>
      </c>
      <c r="O21" s="31" t="b">
        <f t="shared" si="4"/>
        <v>0</v>
      </c>
      <c r="P21" s="31" t="b">
        <f t="shared" si="5"/>
        <v>1</v>
      </c>
      <c r="Q21" s="31" t="b">
        <f t="shared" si="6"/>
        <v>0</v>
      </c>
      <c r="R21" s="31" t="b">
        <f t="shared" si="7"/>
        <v>0</v>
      </c>
      <c r="S21" s="31" t="b">
        <f t="shared" si="8"/>
        <v>0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1</v>
      </c>
      <c r="Z21" s="31" t="b">
        <f t="shared" si="15"/>
        <v>0</v>
      </c>
      <c r="AA21" s="31" t="b">
        <f t="shared" si="16"/>
        <v>0</v>
      </c>
      <c r="AB21" s="31" t="b">
        <f t="shared" si="17"/>
        <v>0</v>
      </c>
      <c r="AC21" s="31" t="b">
        <f t="shared" si="18"/>
        <v>0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0</v>
      </c>
      <c r="AL21" s="31" t="b">
        <f t="shared" si="27"/>
        <v>0</v>
      </c>
      <c r="AM21" s="31" t="b">
        <f t="shared" si="28"/>
        <v>0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16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0.6374999999999997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0.6451388888888886</v>
      </c>
      <c r="F22" s="28" t="str">
        <f>IF(OR(AND(A22&lt;=21,A22&gt;0)),(VLOOKUP(A22,Vakant!$A$10:$G$51,5,FALSE)),"")</f>
        <v>Borstahusens BK</v>
      </c>
      <c r="G22" s="29" t="str">
        <f t="shared" si="1"/>
        <v>-</v>
      </c>
      <c r="H22" s="28" t="str">
        <f>+IF(OR(AND(A22&lt;=21,A22&gt;0)),(VLOOKUP(A22,Vakant!$A$10:$G$51,7,FALSE)),"")</f>
        <v>Svalövs BK 2</v>
      </c>
      <c r="I22" s="30">
        <v>0</v>
      </c>
      <c r="J22" s="29" t="str">
        <f t="shared" si="0"/>
        <v>-</v>
      </c>
      <c r="K22" s="30">
        <v>0</v>
      </c>
      <c r="L22" s="51" t="s">
        <v>87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0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0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0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0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0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1</v>
      </c>
      <c r="AS22" s="31" t="b">
        <f t="shared" si="34"/>
        <v>0</v>
      </c>
      <c r="AT22" s="31" t="b">
        <f t="shared" si="35"/>
        <v>0</v>
      </c>
      <c r="AU22" s="31" t="b">
        <f t="shared" si="36"/>
        <v>1</v>
      </c>
      <c r="AV22" s="31" t="b">
        <f t="shared" si="37"/>
        <v>0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0</v>
      </c>
      <c r="B23" s="48">
        <f>+IF(AND(A23&gt;0,A23&lt;=21),VLOOKUP(F23,Grupper!$B$1:$C$12,2,FALSE),"")</f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0.6374999999999997</v>
      </c>
      <c r="D23" s="50">
        <f t="shared" si="39"/>
      </c>
      <c r="E23" s="50">
        <f>IF(OR(AND(A23&gt;0,F23=F22),AND(A23&gt;0,F23=H22),AND(A23&gt;0,H23=H22),AND(A23&gt;0,H23=F22)),(IF(OR(A23&lt;=21),C23+Inställningar!$B$1,E22)),(IF(OR(AND(A23&gt;0,A23&lt;=21)),C23+Inställningar!$B$1,E22)))</f>
        <v>0.6451388888888886</v>
      </c>
      <c r="F23" s="28">
        <f>IF(OR(AND(A23&lt;=21,A23&gt;0)),(VLOOKUP(A23,Vakant!$A$10:$G$51,5,FALSE)),"")</f>
      </c>
      <c r="G23" s="29">
        <f t="shared" si="1"/>
      </c>
      <c r="H23" s="28">
        <f>+IF(OR(AND(A23&lt;=21,A23&gt;0)),(VLOOKUP(A23,Vakant!$A$10:$G$51,7,FALSE)),"")</f>
      </c>
      <c r="I23" s="30"/>
      <c r="J23" s="29">
        <f t="shared" si="0"/>
      </c>
      <c r="L23" s="51"/>
      <c r="M23" s="31">
        <f t="shared" si="2"/>
        <v>0</v>
      </c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  <c r="W23" s="31">
        <f t="shared" si="12"/>
        <v>0</v>
      </c>
      <c r="X23" s="31">
        <f t="shared" si="13"/>
        <v>0</v>
      </c>
      <c r="Y23" s="31">
        <f t="shared" si="14"/>
        <v>0</v>
      </c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31">
        <f t="shared" si="18"/>
        <v>0</v>
      </c>
      <c r="AD23" s="31">
        <f t="shared" si="19"/>
        <v>0</v>
      </c>
      <c r="AE23" s="31">
        <f t="shared" si="20"/>
        <v>0</v>
      </c>
      <c r="AF23" s="31">
        <f t="shared" si="21"/>
        <v>0</v>
      </c>
      <c r="AG23" s="31">
        <f t="shared" si="22"/>
        <v>0</v>
      </c>
      <c r="AH23" s="31">
        <f t="shared" si="23"/>
        <v>0</v>
      </c>
      <c r="AI23" s="31">
        <f t="shared" si="24"/>
        <v>0</v>
      </c>
      <c r="AJ23" s="31">
        <f t="shared" si="25"/>
        <v>0</v>
      </c>
      <c r="AK23" s="31">
        <f t="shared" si="26"/>
        <v>0</v>
      </c>
      <c r="AL23" s="31">
        <f t="shared" si="27"/>
        <v>0</v>
      </c>
      <c r="AM23" s="31">
        <f t="shared" si="28"/>
        <v>0</v>
      </c>
      <c r="AN23" s="31">
        <f t="shared" si="29"/>
        <v>0</v>
      </c>
      <c r="AO23" s="31">
        <f t="shared" si="30"/>
        <v>0</v>
      </c>
      <c r="AP23" s="31">
        <f t="shared" si="31"/>
        <v>0</v>
      </c>
      <c r="AQ23" s="31">
        <f t="shared" si="32"/>
        <v>0</v>
      </c>
      <c r="AR23" s="31">
        <f t="shared" si="33"/>
        <v>0</v>
      </c>
      <c r="AS23" s="31">
        <f t="shared" si="34"/>
        <v>0</v>
      </c>
      <c r="AT23" s="31">
        <f t="shared" si="35"/>
        <v>0</v>
      </c>
      <c r="AU23" s="31">
        <f t="shared" si="36"/>
        <v>0</v>
      </c>
      <c r="AV23" s="31">
        <f t="shared" si="37"/>
        <v>0</v>
      </c>
      <c r="AW23" s="32" t="b">
        <f t="shared" si="38"/>
        <v>0</v>
      </c>
    </row>
    <row r="24" spans="1:49" ht="18" customHeight="1">
      <c r="A24" s="48">
        <f>IF(Lottning!$B$7="vakant",0,(IF(AND(Vakant!AX24&lt;=21,Vakant!BC24&gt;0),Vakant!BC24,0)))</f>
        <v>18</v>
      </c>
      <c r="B24" s="48" t="str">
        <f>+IF(AND(A24&gt;0,A24&lt;=21),VLOOKUP(F24,Grupper!$B$1:$C$12,2,FALSE),"")</f>
        <v>A</v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0.645833333333333</v>
      </c>
      <c r="D24" s="50" t="str">
        <f t="shared" si="39"/>
        <v>-</v>
      </c>
      <c r="E24" s="50">
        <f>IF(OR(AND(A24&gt;0,F24=F23),AND(A24&gt;0,F24=H23),AND(A24&gt;0,H24=H23),AND(A24&gt;0,H24=F23)),(IF(OR(A24&lt;=21),C24+Inställningar!$B$1,E23)),(IF(OR(AND(A24&gt;0,A24&lt;=21)),C24+Inställningar!$B$1,E23)))</f>
        <v>0.6534722222222219</v>
      </c>
      <c r="F24" s="28" t="str">
        <f>IF(OR(AND(A24&lt;=21,A24&gt;0)),(VLOOKUP(A24,Vakant!$A$10:$G$51,5,FALSE)),"")</f>
        <v>Furulunds IK</v>
      </c>
      <c r="G24" s="29" t="str">
        <f t="shared" si="1"/>
        <v>-</v>
      </c>
      <c r="H24" s="28" t="str">
        <f>+IF(OR(AND(A24&lt;=21,A24&gt;0)),(VLOOKUP(A24,Vakant!$A$10:$G$51,7,FALSE)),"")</f>
        <v>Kågeröds BoIF</v>
      </c>
      <c r="I24" s="30">
        <v>2</v>
      </c>
      <c r="J24" s="29" t="str">
        <f t="shared" si="0"/>
        <v>-</v>
      </c>
      <c r="K24" s="30">
        <v>0</v>
      </c>
      <c r="L24" s="30" t="s">
        <v>87</v>
      </c>
      <c r="M24" s="31" t="b">
        <f t="shared" si="2"/>
        <v>0</v>
      </c>
      <c r="N24" s="31" t="b">
        <f t="shared" si="3"/>
        <v>1</v>
      </c>
      <c r="O24" s="31" t="b">
        <f t="shared" si="4"/>
        <v>0</v>
      </c>
      <c r="P24" s="31" t="b">
        <f t="shared" si="5"/>
        <v>0</v>
      </c>
      <c r="Q24" s="31" t="b">
        <f t="shared" si="6"/>
        <v>0</v>
      </c>
      <c r="R24" s="31" t="b">
        <f t="shared" si="7"/>
        <v>0</v>
      </c>
      <c r="S24" s="31" t="b">
        <f t="shared" si="8"/>
        <v>0</v>
      </c>
      <c r="T24" s="31" t="b">
        <f t="shared" si="9"/>
        <v>0</v>
      </c>
      <c r="U24" s="31" t="b">
        <f t="shared" si="10"/>
        <v>0</v>
      </c>
      <c r="V24" s="31" t="b">
        <f t="shared" si="11"/>
        <v>0</v>
      </c>
      <c r="W24" s="31" t="b">
        <f t="shared" si="12"/>
        <v>0</v>
      </c>
      <c r="X24" s="31" t="b">
        <f t="shared" si="13"/>
        <v>0</v>
      </c>
      <c r="Y24" s="31" t="b">
        <f t="shared" si="14"/>
        <v>0</v>
      </c>
      <c r="Z24" s="31" t="b">
        <f t="shared" si="15"/>
        <v>0</v>
      </c>
      <c r="AA24" s="31" t="b">
        <f t="shared" si="16"/>
        <v>0</v>
      </c>
      <c r="AB24" s="31" t="b">
        <f t="shared" si="17"/>
        <v>1</v>
      </c>
      <c r="AC24" s="31" t="b">
        <f t="shared" si="18"/>
        <v>0</v>
      </c>
      <c r="AD24" s="31" t="b">
        <f t="shared" si="19"/>
        <v>0</v>
      </c>
      <c r="AE24" s="31" t="b">
        <f t="shared" si="20"/>
        <v>0</v>
      </c>
      <c r="AF24" s="31" t="b">
        <f t="shared" si="21"/>
        <v>0</v>
      </c>
      <c r="AG24" s="31" t="b">
        <f t="shared" si="22"/>
        <v>0</v>
      </c>
      <c r="AH24" s="31" t="b">
        <f t="shared" si="23"/>
        <v>0</v>
      </c>
      <c r="AI24" s="31" t="b">
        <f t="shared" si="24"/>
        <v>0</v>
      </c>
      <c r="AJ24" s="31" t="b">
        <f t="shared" si="25"/>
        <v>0</v>
      </c>
      <c r="AK24" s="31" t="b">
        <f t="shared" si="26"/>
        <v>0</v>
      </c>
      <c r="AL24" s="31" t="b">
        <f t="shared" si="27"/>
        <v>0</v>
      </c>
      <c r="AM24" s="31" t="b">
        <f t="shared" si="28"/>
        <v>0</v>
      </c>
      <c r="AN24" s="31" t="b">
        <f t="shared" si="29"/>
        <v>0</v>
      </c>
      <c r="AO24" s="31" t="b">
        <f t="shared" si="30"/>
        <v>0</v>
      </c>
      <c r="AP24" s="31" t="b">
        <f t="shared" si="31"/>
        <v>0</v>
      </c>
      <c r="AQ24" s="31" t="b">
        <f t="shared" si="32"/>
        <v>0</v>
      </c>
      <c r="AR24" s="31" t="b">
        <f t="shared" si="33"/>
        <v>0</v>
      </c>
      <c r="AS24" s="31" t="b">
        <f t="shared" si="34"/>
        <v>0</v>
      </c>
      <c r="AT24" s="31" t="b">
        <f t="shared" si="35"/>
        <v>0</v>
      </c>
      <c r="AU24" s="31" t="b">
        <f t="shared" si="36"/>
        <v>0</v>
      </c>
      <c r="AV24" s="31" t="b">
        <f t="shared" si="37"/>
        <v>0</v>
      </c>
      <c r="AW24" s="32" t="b">
        <f t="shared" si="38"/>
        <v>1</v>
      </c>
    </row>
    <row r="25" spans="1:49" ht="18" customHeight="1">
      <c r="A25" s="48">
        <f>IF(Lottning!$B$7="vakant",0,(IF(AND(Vakant!AX25&lt;=21,Vakant!BC25&gt;0),Vakant!BC25,0)))</f>
        <v>20</v>
      </c>
      <c r="B25" s="48" t="str">
        <f>+IF(AND(A25&gt;0,A25&lt;=21),VLOOKUP(F25,Grupper!$B$1:$C$12,2,FALSE),"")</f>
        <v>B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0.6541666666666663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0.6618055555555552</v>
      </c>
      <c r="F25" s="28" t="str">
        <f>IF(OR(AND(A25&lt;=21,A25&gt;0)),(VLOOKUP(A25,Vakant!$A$10:$G$51,5,FALSE)),"")</f>
        <v>Kullavägen</v>
      </c>
      <c r="G25" s="29" t="str">
        <f t="shared" si="1"/>
        <v>-</v>
      </c>
      <c r="H25" s="28" t="str">
        <f>+IF(OR(AND(A25&lt;=21,A25&gt;0)),(VLOOKUP(A25,Vakant!$A$10:$G$51,7,FALSE)),"")</f>
        <v>Borstahusens BK</v>
      </c>
      <c r="I25" s="30">
        <v>0</v>
      </c>
      <c r="J25" s="29" t="str">
        <f t="shared" si="0"/>
        <v>-</v>
      </c>
      <c r="K25" s="30">
        <v>3</v>
      </c>
      <c r="L25" s="51" t="s">
        <v>87</v>
      </c>
      <c r="M25" s="31" t="b">
        <f t="shared" si="2"/>
        <v>0</v>
      </c>
      <c r="N25" s="31" t="b">
        <f t="shared" si="3"/>
        <v>0</v>
      </c>
      <c r="O25" s="31" t="b">
        <f t="shared" si="4"/>
        <v>0</v>
      </c>
      <c r="P25" s="31" t="b">
        <f t="shared" si="5"/>
        <v>0</v>
      </c>
      <c r="Q25" s="31" t="b">
        <f t="shared" si="6"/>
        <v>0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1</v>
      </c>
      <c r="X25" s="31" t="b">
        <f t="shared" si="13"/>
        <v>0</v>
      </c>
      <c r="Y25" s="31" t="b">
        <f t="shared" si="14"/>
        <v>0</v>
      </c>
      <c r="Z25" s="31" t="b">
        <f t="shared" si="15"/>
        <v>0</v>
      </c>
      <c r="AA25" s="31" t="b">
        <f t="shared" si="16"/>
        <v>0</v>
      </c>
      <c r="AB25" s="31" t="b">
        <f t="shared" si="17"/>
        <v>0</v>
      </c>
      <c r="AC25" s="31" t="b">
        <f t="shared" si="18"/>
        <v>0</v>
      </c>
      <c r="AD25" s="31" t="b">
        <f t="shared" si="19"/>
        <v>0</v>
      </c>
      <c r="AE25" s="31" t="b">
        <f t="shared" si="20"/>
        <v>0</v>
      </c>
      <c r="AF25" s="31" t="b">
        <f t="shared" si="21"/>
        <v>0</v>
      </c>
      <c r="AG25" s="31" t="b">
        <f t="shared" si="22"/>
        <v>1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0</v>
      </c>
      <c r="AM25" s="31" t="b">
        <f t="shared" si="28"/>
        <v>0</v>
      </c>
      <c r="AN25" s="31" t="b">
        <f t="shared" si="29"/>
        <v>0</v>
      </c>
      <c r="AO25" s="31" t="b">
        <f t="shared" si="30"/>
        <v>0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0</v>
      </c>
      <c r="B26" s="48">
        <f>+IF(AND(A26&gt;0,A26&lt;=21),VLOOKUP(F26,Grupper!$B$1:$C$12,2,FALSE),"")</f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0.6541666666666663</v>
      </c>
      <c r="D26" s="50">
        <f t="shared" si="39"/>
      </c>
      <c r="E26" s="50">
        <f>IF(OR(AND(A26&gt;0,F26=F25),AND(A26&gt;0,F26=H25),AND(A26&gt;0,H26=H25),AND(A26&gt;0,H26=F25)),(IF(OR(A26&lt;=21),C26+Inställningar!$B$1,E25)),(IF(OR(AND(A26&gt;0,A26&lt;=21)),C26+Inställningar!$B$1,E25)))</f>
        <v>0.6618055555555552</v>
      </c>
      <c r="F26" s="28">
        <f>IF(OR(AND(A26&lt;=21,A26&gt;0)),(VLOOKUP(A26,Vakant!$A$10:$G$51,5,FALSE)),"")</f>
      </c>
      <c r="G26" s="29">
        <f t="shared" si="1"/>
      </c>
      <c r="H26" s="28">
        <f>+IF(OR(AND(A26&lt;=21,A26&gt;0)),(VLOOKUP(A26,Vakant!$A$10:$G$51,7,FALSE)),"")</f>
      </c>
      <c r="I26" s="30"/>
      <c r="J26" s="29">
        <f t="shared" si="0"/>
      </c>
      <c r="L26" s="51"/>
      <c r="M26" s="31">
        <f t="shared" si="2"/>
        <v>0</v>
      </c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  <c r="W26" s="31">
        <f t="shared" si="12"/>
        <v>0</v>
      </c>
      <c r="X26" s="31">
        <f t="shared" si="13"/>
        <v>0</v>
      </c>
      <c r="Y26" s="31">
        <f t="shared" si="14"/>
        <v>0</v>
      </c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31">
        <f t="shared" si="18"/>
        <v>0</v>
      </c>
      <c r="AD26" s="31">
        <f t="shared" si="19"/>
        <v>0</v>
      </c>
      <c r="AE26" s="31">
        <f t="shared" si="20"/>
        <v>0</v>
      </c>
      <c r="AF26" s="31">
        <f t="shared" si="21"/>
        <v>0</v>
      </c>
      <c r="AG26" s="31">
        <f t="shared" si="22"/>
        <v>0</v>
      </c>
      <c r="AH26" s="31">
        <f t="shared" si="23"/>
        <v>0</v>
      </c>
      <c r="AI26" s="31">
        <f t="shared" si="24"/>
        <v>0</v>
      </c>
      <c r="AJ26" s="31">
        <f t="shared" si="25"/>
        <v>0</v>
      </c>
      <c r="AK26" s="31">
        <f t="shared" si="26"/>
        <v>0</v>
      </c>
      <c r="AL26" s="31">
        <f t="shared" si="27"/>
        <v>0</v>
      </c>
      <c r="AM26" s="31">
        <f t="shared" si="28"/>
        <v>0</v>
      </c>
      <c r="AN26" s="31">
        <f t="shared" si="29"/>
        <v>0</v>
      </c>
      <c r="AO26" s="31">
        <f t="shared" si="30"/>
        <v>0</v>
      </c>
      <c r="AP26" s="31">
        <f t="shared" si="31"/>
        <v>0</v>
      </c>
      <c r="AQ26" s="31">
        <f t="shared" si="32"/>
        <v>0</v>
      </c>
      <c r="AR26" s="31">
        <f t="shared" si="33"/>
        <v>0</v>
      </c>
      <c r="AS26" s="31">
        <f t="shared" si="34"/>
        <v>0</v>
      </c>
      <c r="AT26" s="31">
        <f t="shared" si="35"/>
        <v>0</v>
      </c>
      <c r="AU26" s="31">
        <f t="shared" si="36"/>
        <v>0</v>
      </c>
      <c r="AV26" s="31">
        <f t="shared" si="37"/>
        <v>0</v>
      </c>
      <c r="AW26" s="32" t="b">
        <f t="shared" si="38"/>
        <v>0</v>
      </c>
    </row>
    <row r="27" spans="1:49" ht="18" customHeight="1">
      <c r="A27" s="48">
        <f>+IF(AND(Vakant!AX27&lt;=21,Vakant!BC27&gt;0),Vakant!BC27,0)</f>
        <v>0</v>
      </c>
      <c r="B27" s="48">
        <f>+IF(AND(A27&gt;0,A27&lt;=21),VLOOKUP(F27,Grupper!$B$1:$C$12,2,FALSE),"")</f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0.6541666666666663</v>
      </c>
      <c r="D27" s="50">
        <f t="shared" si="39"/>
      </c>
      <c r="E27" s="50">
        <f>IF(OR(AND(A27&gt;0,F27=F26),AND(A27&gt;0,F27=H26),AND(A27&gt;0,H27=H26),AND(A27&gt;0,H27=F26)),(IF(OR(A27&lt;=21),C27+Inställningar!$B$1,E26)),(IF(OR(AND(A27&gt;0,A27&lt;=21)),C27+Inställningar!$B$1,E26)))</f>
        <v>0.6618055555555552</v>
      </c>
      <c r="F27" s="28">
        <f>IF(OR(AND(A27&lt;=21,A27&gt;0)),(VLOOKUP(A27,Vakant!$A$10:$G$51,5,FALSE)),"")</f>
      </c>
      <c r="G27" s="29">
        <f t="shared" si="1"/>
      </c>
      <c r="H27" s="28">
        <f>+IF(OR(AND(A27&lt;=21,A27&gt;0)),(VLOOKUP(A27,Vakant!$A$10:$G$51,7,FALSE)),"")</f>
      </c>
      <c r="I27" s="30"/>
      <c r="J27" s="29">
        <f t="shared" si="0"/>
      </c>
      <c r="L27" s="51"/>
      <c r="M27" s="31">
        <f t="shared" si="2"/>
        <v>0</v>
      </c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  <c r="W27" s="31">
        <f t="shared" si="12"/>
        <v>0</v>
      </c>
      <c r="X27" s="31">
        <f t="shared" si="13"/>
        <v>0</v>
      </c>
      <c r="Y27" s="31">
        <f t="shared" si="14"/>
        <v>0</v>
      </c>
      <c r="Z27" s="31">
        <f t="shared" si="15"/>
        <v>0</v>
      </c>
      <c r="AA27" s="31">
        <f t="shared" si="16"/>
        <v>0</v>
      </c>
      <c r="AB27" s="31">
        <f t="shared" si="17"/>
        <v>0</v>
      </c>
      <c r="AC27" s="31">
        <f t="shared" si="18"/>
        <v>0</v>
      </c>
      <c r="AD27" s="31">
        <f t="shared" si="19"/>
        <v>0</v>
      </c>
      <c r="AE27" s="31">
        <f t="shared" si="20"/>
        <v>0</v>
      </c>
      <c r="AF27" s="31">
        <f t="shared" si="21"/>
        <v>0</v>
      </c>
      <c r="AG27" s="31">
        <f t="shared" si="22"/>
        <v>0</v>
      </c>
      <c r="AH27" s="31">
        <f t="shared" si="23"/>
        <v>0</v>
      </c>
      <c r="AI27" s="31">
        <f t="shared" si="24"/>
        <v>0</v>
      </c>
      <c r="AJ27" s="31">
        <f t="shared" si="25"/>
        <v>0</v>
      </c>
      <c r="AK27" s="31">
        <f t="shared" si="26"/>
        <v>0</v>
      </c>
      <c r="AL27" s="31">
        <f t="shared" si="27"/>
        <v>0</v>
      </c>
      <c r="AM27" s="31">
        <f t="shared" si="28"/>
        <v>0</v>
      </c>
      <c r="AN27" s="31">
        <f t="shared" si="29"/>
        <v>0</v>
      </c>
      <c r="AO27" s="31">
        <f t="shared" si="30"/>
        <v>0</v>
      </c>
      <c r="AP27" s="31">
        <f t="shared" si="31"/>
        <v>0</v>
      </c>
      <c r="AQ27" s="31">
        <f t="shared" si="32"/>
        <v>0</v>
      </c>
      <c r="AR27" s="31">
        <f t="shared" si="33"/>
        <v>0</v>
      </c>
      <c r="AS27" s="31">
        <f t="shared" si="34"/>
        <v>0</v>
      </c>
      <c r="AT27" s="31">
        <f t="shared" si="35"/>
        <v>0</v>
      </c>
      <c r="AU27" s="31">
        <f t="shared" si="36"/>
        <v>0</v>
      </c>
      <c r="AV27" s="31">
        <f t="shared" si="37"/>
        <v>0</v>
      </c>
      <c r="AW27" s="32" t="b">
        <f t="shared" si="38"/>
        <v>0</v>
      </c>
    </row>
    <row r="28" spans="1:49" ht="18" customHeight="1">
      <c r="A28" s="48">
        <f>IF(Lottning!$B$8="vakant",0,(IF(AND(Vakant!AX28&lt;=21,Vakant!BC28&gt;0),Vakant!BC28,0)))</f>
        <v>0</v>
      </c>
      <c r="B28" s="48">
        <f>+IF(AND(A28&gt;0,A28&lt;=21),VLOOKUP(F28,Grupper!$B$1:$C$12,2,FALSE),"")</f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0.6541666666666663</v>
      </c>
      <c r="D28" s="50">
        <f t="shared" si="39"/>
      </c>
      <c r="E28" s="50">
        <f>IF(OR(AND(A28&gt;0,F28=F27),AND(A28&gt;0,F28=H27),AND(A28&gt;0,H28=H27),AND(A28&gt;0,H28=F27)),(IF(OR(A28&lt;=21),C28+Inställningar!$B$1,E27)),(IF(OR(AND(A28&gt;0,A28&lt;=21)),C28+Inställningar!$B$1,E27)))</f>
        <v>0.6618055555555552</v>
      </c>
      <c r="F28" s="28">
        <f>IF(OR(AND(A28&lt;=21,A28&gt;0)),(VLOOKUP(A28,Vakant!$A$10:$G$51,5,FALSE)),"")</f>
      </c>
      <c r="G28" s="29">
        <f t="shared" si="1"/>
      </c>
      <c r="H28" s="28">
        <f>+IF(OR(AND(A28&lt;=21,A28&gt;0)),(VLOOKUP(A28,Vakant!$A$10:$G$51,7,FALSE)),"")</f>
      </c>
      <c r="I28" s="30"/>
      <c r="J28" s="29">
        <f t="shared" si="0"/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  <c r="W28" s="31">
        <f t="shared" si="12"/>
        <v>0</v>
      </c>
      <c r="X28" s="31">
        <f t="shared" si="13"/>
        <v>0</v>
      </c>
      <c r="Y28" s="31">
        <f t="shared" si="14"/>
        <v>0</v>
      </c>
      <c r="Z28" s="31">
        <f t="shared" si="15"/>
        <v>0</v>
      </c>
      <c r="AA28" s="31">
        <f t="shared" si="16"/>
        <v>0</v>
      </c>
      <c r="AB28" s="31">
        <f t="shared" si="17"/>
        <v>0</v>
      </c>
      <c r="AC28" s="31">
        <f t="shared" si="18"/>
        <v>0</v>
      </c>
      <c r="AD28" s="31">
        <f t="shared" si="19"/>
        <v>0</v>
      </c>
      <c r="AE28" s="31">
        <f t="shared" si="20"/>
        <v>0</v>
      </c>
      <c r="AF28" s="31">
        <f t="shared" si="21"/>
        <v>0</v>
      </c>
      <c r="AG28" s="31">
        <f t="shared" si="22"/>
        <v>0</v>
      </c>
      <c r="AH28" s="31">
        <f t="shared" si="23"/>
        <v>0</v>
      </c>
      <c r="AI28" s="31">
        <f t="shared" si="24"/>
        <v>0</v>
      </c>
      <c r="AJ28" s="31">
        <f t="shared" si="25"/>
        <v>0</v>
      </c>
      <c r="AK28" s="31">
        <f t="shared" si="26"/>
        <v>0</v>
      </c>
      <c r="AL28" s="31">
        <f t="shared" si="27"/>
        <v>0</v>
      </c>
      <c r="AM28" s="31">
        <f t="shared" si="28"/>
        <v>0</v>
      </c>
      <c r="AN28" s="31">
        <f t="shared" si="29"/>
        <v>0</v>
      </c>
      <c r="AO28" s="31">
        <f t="shared" si="30"/>
        <v>0</v>
      </c>
      <c r="AP28" s="31">
        <f t="shared" si="31"/>
        <v>0</v>
      </c>
      <c r="AQ28" s="31">
        <f t="shared" si="32"/>
        <v>0</v>
      </c>
      <c r="AR28" s="31">
        <f t="shared" si="33"/>
        <v>0</v>
      </c>
      <c r="AS28" s="31">
        <f t="shared" si="34"/>
        <v>0</v>
      </c>
      <c r="AT28" s="31">
        <f t="shared" si="35"/>
        <v>0</v>
      </c>
      <c r="AU28" s="31">
        <f t="shared" si="36"/>
        <v>0</v>
      </c>
      <c r="AV28" s="31">
        <f t="shared" si="37"/>
        <v>0</v>
      </c>
      <c r="AW28" s="32" t="b">
        <f t="shared" si="38"/>
        <v>0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0.6541666666666663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0.6618055555555552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0</v>
      </c>
      <c r="B30" s="48">
        <f>+IF(AND(A30&gt;0,A30&lt;=21),VLOOKUP(F30,Grupper!$B$1:$C$12,2,FALSE),"")</f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0.6541666666666663</v>
      </c>
      <c r="D30" s="50">
        <f aca="true" t="shared" si="40" ref="D30:D36">+IF((OR(AND(A30&lt;=21,A30&gt;0))),"-","")</f>
      </c>
      <c r="E30" s="50">
        <f>IF(OR(AND(A30&gt;0,F30=F29),AND(A30&gt;0,F30=H29),AND(A30&gt;0,H30=H29),AND(A30&gt;0,H30=F29)),(IF(OR(A30&lt;=21),C30+Inställningar!$B$1,E29)),(IF(OR(AND(A30&gt;0,A30&lt;=21)),C30+Inställningar!$B$1,E29)))</f>
        <v>0.6618055555555552</v>
      </c>
      <c r="F30" s="28">
        <f>IF(OR(AND(A30&lt;=21,A30&gt;0)),(VLOOKUP(A30,Vakant!$A$10:$G$51,5,FALSE)),"")</f>
      </c>
      <c r="G30" s="29">
        <f aca="true" t="shared" si="41" ref="G30:G36">+IF((OR(AND(A30&lt;=21,A30&gt;0))),"-","")</f>
      </c>
      <c r="H30" s="28">
        <f>+IF(OR(AND(A30&lt;=21,A30&gt;0)),(VLOOKUP(A30,Vakant!$A$10:$G$51,7,FALSE)),"")</f>
      </c>
      <c r="I30" s="30"/>
      <c r="J30" s="29">
        <f t="shared" si="0"/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  <c r="W30" s="31">
        <f t="shared" si="12"/>
        <v>0</v>
      </c>
      <c r="X30" s="31">
        <f t="shared" si="13"/>
        <v>0</v>
      </c>
      <c r="Y30" s="31">
        <f t="shared" si="14"/>
        <v>0</v>
      </c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31">
        <f t="shared" si="18"/>
        <v>0</v>
      </c>
      <c r="AD30" s="31">
        <f t="shared" si="19"/>
        <v>0</v>
      </c>
      <c r="AE30" s="31">
        <f t="shared" si="20"/>
        <v>0</v>
      </c>
      <c r="AF30" s="31">
        <f t="shared" si="21"/>
        <v>0</v>
      </c>
      <c r="AG30" s="31">
        <f t="shared" si="22"/>
        <v>0</v>
      </c>
      <c r="AH30" s="31">
        <f t="shared" si="23"/>
        <v>0</v>
      </c>
      <c r="AI30" s="31">
        <f t="shared" si="24"/>
        <v>0</v>
      </c>
      <c r="AJ30" s="31">
        <f t="shared" si="25"/>
        <v>0</v>
      </c>
      <c r="AK30" s="31">
        <f t="shared" si="26"/>
        <v>0</v>
      </c>
      <c r="AL30" s="31">
        <f t="shared" si="27"/>
        <v>0</v>
      </c>
      <c r="AM30" s="31">
        <f t="shared" si="28"/>
        <v>0</v>
      </c>
      <c r="AN30" s="31">
        <f t="shared" si="29"/>
        <v>0</v>
      </c>
      <c r="AO30" s="31">
        <f t="shared" si="30"/>
        <v>0</v>
      </c>
      <c r="AP30" s="31">
        <f t="shared" si="31"/>
        <v>0</v>
      </c>
      <c r="AQ30" s="31">
        <f t="shared" si="32"/>
        <v>0</v>
      </c>
      <c r="AR30" s="31">
        <f t="shared" si="33"/>
        <v>0</v>
      </c>
      <c r="AS30" s="31">
        <f t="shared" si="34"/>
        <v>0</v>
      </c>
      <c r="AT30" s="31">
        <f t="shared" si="35"/>
        <v>0</v>
      </c>
      <c r="AU30" s="31">
        <f t="shared" si="36"/>
        <v>0</v>
      </c>
      <c r="AV30" s="31">
        <f t="shared" si="37"/>
        <v>0</v>
      </c>
      <c r="AW30" s="32" t="b">
        <f t="shared" si="38"/>
        <v>0</v>
      </c>
    </row>
    <row r="31" spans="1:49" ht="18" customHeight="1">
      <c r="A31" s="48">
        <f>IF(Lottning!$B$8="vakant",0,(IF(AND(Vakant!AX31&lt;=21,Vakant!BC31&gt;0),Vakant!BC31,0)))</f>
        <v>0</v>
      </c>
      <c r="B31" s="48">
        <f>+IF(AND(A31&gt;0,A31&lt;=21),VLOOKUP(F31,Grupper!$B$1:$C$12,2,FALSE),"")</f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0.6541666666666663</v>
      </c>
      <c r="D31" s="50">
        <f t="shared" si="40"/>
      </c>
      <c r="E31" s="50">
        <f>IF(OR(AND(A31&gt;0,F31=F30),AND(A31&gt;0,F31=H30),AND(A31&gt;0,H31=H30),AND(A31&gt;0,H31=F30)),(IF(OR(A31&lt;=21),C31+Inställningar!$B$1,E30)),(IF(OR(AND(A31&gt;0,A31&lt;=21)),C31+Inställningar!$B$1,E30)))</f>
        <v>0.6618055555555552</v>
      </c>
      <c r="F31" s="28">
        <f>IF(OR(AND(A31&lt;=21,A31&gt;0)),(VLOOKUP(A31,Vakant!$A$10:$G$51,5,FALSE)),"")</f>
      </c>
      <c r="G31" s="29">
        <f t="shared" si="41"/>
      </c>
      <c r="H31" s="28">
        <f>+IF(OR(AND(A31&lt;=21,A31&gt;0)),(VLOOKUP(A31,Vakant!$A$10:$G$51,7,FALSE)),"")</f>
      </c>
      <c r="I31" s="30"/>
      <c r="J31" s="29">
        <f t="shared" si="0"/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  <c r="W31" s="31">
        <f t="shared" si="12"/>
        <v>0</v>
      </c>
      <c r="X31" s="31">
        <f t="shared" si="13"/>
        <v>0</v>
      </c>
      <c r="Y31" s="31">
        <f t="shared" si="14"/>
        <v>0</v>
      </c>
      <c r="Z31" s="31">
        <f t="shared" si="15"/>
        <v>0</v>
      </c>
      <c r="AA31" s="31">
        <f t="shared" si="16"/>
        <v>0</v>
      </c>
      <c r="AB31" s="31">
        <f t="shared" si="17"/>
        <v>0</v>
      </c>
      <c r="AC31" s="31">
        <f t="shared" si="18"/>
        <v>0</v>
      </c>
      <c r="AD31" s="31">
        <f t="shared" si="19"/>
        <v>0</v>
      </c>
      <c r="AE31" s="31">
        <f t="shared" si="20"/>
        <v>0</v>
      </c>
      <c r="AF31" s="31">
        <f t="shared" si="21"/>
        <v>0</v>
      </c>
      <c r="AG31" s="31">
        <f t="shared" si="22"/>
        <v>0</v>
      </c>
      <c r="AH31" s="31">
        <f t="shared" si="23"/>
        <v>0</v>
      </c>
      <c r="AI31" s="31">
        <f t="shared" si="24"/>
        <v>0</v>
      </c>
      <c r="AJ31" s="31">
        <f t="shared" si="25"/>
        <v>0</v>
      </c>
      <c r="AK31" s="31">
        <f t="shared" si="26"/>
        <v>0</v>
      </c>
      <c r="AL31" s="31">
        <f t="shared" si="27"/>
        <v>0</v>
      </c>
      <c r="AM31" s="31">
        <f t="shared" si="28"/>
        <v>0</v>
      </c>
      <c r="AN31" s="31">
        <f t="shared" si="29"/>
        <v>0</v>
      </c>
      <c r="AO31" s="31">
        <f t="shared" si="30"/>
        <v>0</v>
      </c>
      <c r="AP31" s="31">
        <f t="shared" si="31"/>
        <v>0</v>
      </c>
      <c r="AQ31" s="31">
        <f t="shared" si="32"/>
        <v>0</v>
      </c>
      <c r="AR31" s="31">
        <f t="shared" si="33"/>
        <v>0</v>
      </c>
      <c r="AS31" s="31">
        <f t="shared" si="34"/>
        <v>0</v>
      </c>
      <c r="AT31" s="31">
        <f t="shared" si="35"/>
        <v>0</v>
      </c>
      <c r="AU31" s="31">
        <f t="shared" si="36"/>
        <v>0</v>
      </c>
      <c r="AV31" s="31">
        <f t="shared" si="37"/>
        <v>0</v>
      </c>
      <c r="AW31" s="32" t="b">
        <f t="shared" si="38"/>
        <v>0</v>
      </c>
    </row>
    <row r="32" spans="1:49" ht="18" customHeight="1">
      <c r="A32" s="48">
        <f>IF(Lottning!$B$8="vakant",0,(IF(AND(Vakant!AX32&lt;=21,Vakant!BC32&gt;0),Vakant!BC32,0)))</f>
        <v>0</v>
      </c>
      <c r="B32" s="48">
        <f>+IF(AND(A32&gt;0,A32&lt;=21),VLOOKUP(F32,Grupper!$B$1:$C$12,2,FALSE),"")</f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0.6541666666666663</v>
      </c>
      <c r="D32" s="50">
        <f t="shared" si="40"/>
      </c>
      <c r="E32" s="50">
        <f>IF(OR(AND(A32&gt;0,F32=F31),AND(A32&gt;0,F32=H31),AND(A32&gt;0,H32=H31),AND(A32&gt;0,H32=F31)),(IF(OR(A32&lt;=21),C32+Inställningar!$B$1,E31)),(IF(OR(AND(A32&gt;0,A32&lt;=21)),C32+Inställningar!$B$1,E31)))</f>
        <v>0.6618055555555552</v>
      </c>
      <c r="F32" s="28">
        <f>IF(OR(AND(A32&lt;=21,A32&gt;0)),(VLOOKUP(A32,Vakant!$A$10:$G$51,5,FALSE)),"")</f>
      </c>
      <c r="G32" s="29">
        <f t="shared" si="41"/>
      </c>
      <c r="H32" s="28">
        <f>+IF(OR(AND(A32&lt;=21,A32&gt;0)),(VLOOKUP(A32,Vakant!$A$10:$G$51,7,FALSE)),"")</f>
      </c>
      <c r="I32" s="30"/>
      <c r="J32" s="29">
        <f t="shared" si="0"/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31">
        <f t="shared" si="14"/>
        <v>0</v>
      </c>
      <c r="Z32" s="31">
        <f t="shared" si="15"/>
        <v>0</v>
      </c>
      <c r="AA32" s="31">
        <f t="shared" si="16"/>
        <v>0</v>
      </c>
      <c r="AB32" s="31">
        <f t="shared" si="17"/>
        <v>0</v>
      </c>
      <c r="AC32" s="31">
        <f t="shared" si="18"/>
        <v>0</v>
      </c>
      <c r="AD32" s="31">
        <f t="shared" si="19"/>
        <v>0</v>
      </c>
      <c r="AE32" s="31">
        <f t="shared" si="20"/>
        <v>0</v>
      </c>
      <c r="AF32" s="31">
        <f t="shared" si="21"/>
        <v>0</v>
      </c>
      <c r="AG32" s="31">
        <f t="shared" si="22"/>
        <v>0</v>
      </c>
      <c r="AH32" s="31">
        <f t="shared" si="23"/>
        <v>0</v>
      </c>
      <c r="AI32" s="31">
        <f t="shared" si="24"/>
        <v>0</v>
      </c>
      <c r="AJ32" s="31">
        <f t="shared" si="25"/>
        <v>0</v>
      </c>
      <c r="AK32" s="31">
        <f t="shared" si="26"/>
        <v>0</v>
      </c>
      <c r="AL32" s="31">
        <f t="shared" si="27"/>
        <v>0</v>
      </c>
      <c r="AM32" s="31">
        <f t="shared" si="28"/>
        <v>0</v>
      </c>
      <c r="AN32" s="31">
        <f t="shared" si="29"/>
        <v>0</v>
      </c>
      <c r="AO32" s="31">
        <f t="shared" si="30"/>
        <v>0</v>
      </c>
      <c r="AP32" s="31">
        <f t="shared" si="31"/>
        <v>0</v>
      </c>
      <c r="AQ32" s="31">
        <f t="shared" si="32"/>
        <v>0</v>
      </c>
      <c r="AR32" s="31">
        <f t="shared" si="33"/>
        <v>0</v>
      </c>
      <c r="AS32" s="31">
        <f t="shared" si="34"/>
        <v>0</v>
      </c>
      <c r="AT32" s="31">
        <f t="shared" si="35"/>
        <v>0</v>
      </c>
      <c r="AU32" s="31">
        <f t="shared" si="36"/>
        <v>0</v>
      </c>
      <c r="AV32" s="31">
        <f t="shared" si="37"/>
        <v>0</v>
      </c>
      <c r="AW32" s="32" t="b">
        <f t="shared" si="38"/>
        <v>0</v>
      </c>
    </row>
    <row r="33" spans="1:49" ht="18" customHeight="1">
      <c r="A33" s="48">
        <f>IF(Lottning!$B$8="vakant",0,(IF(AND(Vakant!AX33&lt;=21,Vakant!BC33&gt;0),Vakant!BC33,0)))</f>
        <v>0</v>
      </c>
      <c r="B33" s="48">
        <f>+IF(AND(A33&gt;0,A33&lt;=21),VLOOKUP(F33,Grupper!$B$1:$C$12,2,FALSE),"")</f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0.6541666666666663</v>
      </c>
      <c r="D33" s="50">
        <f t="shared" si="40"/>
      </c>
      <c r="E33" s="50">
        <f>IF(OR(AND(A33&gt;0,F33=F32),AND(A33&gt;0,F33=H32),AND(A33&gt;0,H33=H32),AND(A33&gt;0,H33=F32)),(IF(OR(A33&lt;=21),C33+Inställningar!$B$1,E32)),(IF(OR(AND(A33&gt;0,A33&lt;=21)),C33+Inställningar!$B$1,E32)))</f>
        <v>0.6618055555555552</v>
      </c>
      <c r="F33" s="28">
        <f>IF(OR(AND(A33&lt;=21,A33&gt;0)),(VLOOKUP(A33,Vakant!$A$10:$G$51,5,FALSE)),"")</f>
      </c>
      <c r="G33" s="29">
        <f t="shared" si="41"/>
      </c>
      <c r="H33" s="28">
        <f>+IF(OR(AND(A33&lt;=21,A33&gt;0)),(VLOOKUP(A33,Vakant!$A$10:$G$51,7,FALSE)),"")</f>
      </c>
      <c r="I33" s="30"/>
      <c r="J33" s="29">
        <f t="shared" si="0"/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31">
        <f t="shared" si="14"/>
        <v>0</v>
      </c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31">
        <f t="shared" si="18"/>
        <v>0</v>
      </c>
      <c r="AD33" s="31">
        <f t="shared" si="19"/>
        <v>0</v>
      </c>
      <c r="AE33" s="31">
        <f t="shared" si="20"/>
        <v>0</v>
      </c>
      <c r="AF33" s="31">
        <f t="shared" si="21"/>
        <v>0</v>
      </c>
      <c r="AG33" s="31">
        <f t="shared" si="22"/>
        <v>0</v>
      </c>
      <c r="AH33" s="31">
        <f t="shared" si="23"/>
        <v>0</v>
      </c>
      <c r="AI33" s="31">
        <f t="shared" si="24"/>
        <v>0</v>
      </c>
      <c r="AJ33" s="31">
        <f t="shared" si="25"/>
        <v>0</v>
      </c>
      <c r="AK33" s="31">
        <f t="shared" si="26"/>
        <v>0</v>
      </c>
      <c r="AL33" s="31">
        <f t="shared" si="27"/>
        <v>0</v>
      </c>
      <c r="AM33" s="31">
        <f t="shared" si="28"/>
        <v>0</v>
      </c>
      <c r="AN33" s="31">
        <f t="shared" si="29"/>
        <v>0</v>
      </c>
      <c r="AO33" s="31">
        <f t="shared" si="30"/>
        <v>0</v>
      </c>
      <c r="AP33" s="31">
        <f t="shared" si="31"/>
        <v>0</v>
      </c>
      <c r="AQ33" s="31">
        <f t="shared" si="32"/>
        <v>0</v>
      </c>
      <c r="AR33" s="31">
        <f t="shared" si="33"/>
        <v>0</v>
      </c>
      <c r="AS33" s="31">
        <f t="shared" si="34"/>
        <v>0</v>
      </c>
      <c r="AT33" s="31">
        <f t="shared" si="35"/>
        <v>0</v>
      </c>
      <c r="AU33" s="31">
        <f t="shared" si="36"/>
        <v>0</v>
      </c>
      <c r="AV33" s="31">
        <f t="shared" si="37"/>
        <v>0</v>
      </c>
      <c r="AW33" s="32" t="b">
        <f t="shared" si="38"/>
        <v>0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0.6541666666666663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0.6618055555555552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0.6541666666666663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0.6618055555555552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0.6541666666666663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0.6618055555555552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0.6541666666666663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0.6618055555555552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0.6652777777777774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0.6729166666666663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Etta grupp A</v>
      </c>
      <c r="G38" s="29" t="str">
        <f>IF(Inställningar!$B$5="JA","-","")</f>
        <v>-</v>
      </c>
      <c r="H38" s="28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Tvåa grupp B</v>
      </c>
      <c r="I38" s="30">
        <v>1</v>
      </c>
      <c r="J38" s="29" t="str">
        <f>IF(Inställningar!$B$5="JA","-","")</f>
        <v>-</v>
      </c>
      <c r="K38" s="30">
        <v>0</v>
      </c>
      <c r="L38" s="51" t="s">
        <v>87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0.6736111111111107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0.6812499999999996</v>
      </c>
      <c r="F39" s="52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Etta grupp B</v>
      </c>
      <c r="G39" s="29" t="str">
        <f>IF(Inställningar!$B$5="JA","-","")</f>
        <v>-</v>
      </c>
      <c r="H39" s="28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Tvåa grupp A</v>
      </c>
      <c r="I39" s="30">
        <v>2</v>
      </c>
      <c r="J39" s="29" t="str">
        <f>IF(Inställningar!$B$5="JA","-","")</f>
        <v>-</v>
      </c>
      <c r="K39" s="30">
        <v>1</v>
      </c>
      <c r="L39" s="51" t="s">
        <v>87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0.6847222222222218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0.6923611111111106</v>
      </c>
      <c r="F40" s="28" t="str">
        <f>IF(Inställningar!$B$5="JA",(IF(AND(L38="X",AND(I38&lt;&gt;"",K38&lt;&gt;"")),(IF(I38&lt;K38,F38,H38)),"Förlorare semi 1")),"")</f>
        <v>Tvåa grupp B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Tvåa grupp A</v>
      </c>
      <c r="I40" s="30">
        <v>1</v>
      </c>
      <c r="J40" s="29" t="str">
        <f>IF(Inställningar!$B$5="JA","-","")</f>
        <v>-</v>
      </c>
      <c r="K40" s="30">
        <v>2</v>
      </c>
      <c r="L40" s="51" t="s">
        <v>87</v>
      </c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0.6930555555555551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0.700694444444444</v>
      </c>
      <c r="F41" s="28" t="str">
        <f>IF(Inställningar!$B$5="JA",(IF(AND(L38="X",AND(I38&lt;&gt;"",K38&lt;&gt;"")),(IF(I38&gt;K38,F38,H38)),"Vinnare semi 1")),"")</f>
        <v>Etta grupp A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Etta grupp B</v>
      </c>
      <c r="I41" s="30">
        <v>2</v>
      </c>
      <c r="J41" s="29" t="str">
        <f>IF(Inställningar!$B$5="JA","-","")</f>
        <v>-</v>
      </c>
      <c r="K41" s="30">
        <v>3</v>
      </c>
      <c r="L41" s="51" t="s">
        <v>87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 t="str">
        <f>+IF(AND(L41="X",L40="X",L39="X",L38="X",Inställningar!B5="JA",Inställningar!B7="JA"),"Cupens lirare","")</f>
        <v>Cupens lirare</v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57" t="s">
        <v>75</v>
      </c>
      <c r="D44" s="57"/>
      <c r="E44" s="57"/>
      <c r="F44" s="57"/>
      <c r="G44" s="27" t="str">
        <f>+IF(AND(L41="X",L40="X",L39="X",L38="X",Inställningar!B5="JA",Inställningar!B7="JA"),"Namn:","")</f>
        <v>Namn:</v>
      </c>
      <c r="H44" s="122" t="s">
        <v>89</v>
      </c>
      <c r="I44" s="122"/>
      <c r="J44" s="122"/>
      <c r="K44" s="122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57" t="s">
        <v>82</v>
      </c>
      <c r="D45" s="57"/>
      <c r="E45" s="57"/>
      <c r="F45" s="57"/>
      <c r="G45" s="27" t="str">
        <f>+IF(AND(L41="X",L40="X",L39="X",L38="X",Inställningar!B5="JA",Inställningar!B7="JA"),"Klubb:","")</f>
        <v>Klubb:</v>
      </c>
      <c r="H45" s="122" t="s">
        <v>81</v>
      </c>
      <c r="I45" s="122"/>
      <c r="J45" s="122"/>
      <c r="K45" s="122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57" t="s">
        <v>81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57" t="s">
        <v>85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0" operator="equal" stopIfTrue="1">
      <formula>$E9</formula>
    </cfRule>
  </conditionalFormatting>
  <conditionalFormatting sqref="C10:C37">
    <cfRule type="cellIs" priority="2" dxfId="0" operator="equal" stopIfTrue="1">
      <formula>C9</formula>
    </cfRule>
  </conditionalFormatting>
  <conditionalFormatting sqref="A10:A37">
    <cfRule type="cellIs" priority="3" dxfId="0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64</v>
      </c>
      <c r="E1" s="27" t="s">
        <v>65</v>
      </c>
      <c r="F1" s="27" t="s">
        <v>66</v>
      </c>
      <c r="G1" s="27" t="s">
        <v>67</v>
      </c>
      <c r="H1" s="27" t="s">
        <v>68</v>
      </c>
      <c r="I1" s="27"/>
      <c r="J1" s="27" t="s">
        <v>69</v>
      </c>
      <c r="K1" s="27" t="s">
        <v>70</v>
      </c>
      <c r="L1" s="27" t="s">
        <v>71</v>
      </c>
    </row>
    <row r="2" spans="1:12" ht="12.75" customHeight="1" hidden="1">
      <c r="A2" s="65" t="s">
        <v>72</v>
      </c>
      <c r="B2" s="66" t="str">
        <f>+Grupper!A1</f>
        <v>A1</v>
      </c>
      <c r="C2" s="67" t="str">
        <f>IF(Inställningar!$B$6="Nej",IF(Grupper!B1="vakant","",Grupper!B1),0)</f>
        <v>Svalövs BK 1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2</v>
      </c>
      <c r="F2" s="68">
        <f>+IF(Inställningar!$B$6="NEJ",IF(Grupper!B1="vakant","",COUNTIF(Schema!Y:Y,"sant")),0)</f>
        <v>1</v>
      </c>
      <c r="G2" s="69">
        <f>IF(Inställningar!$B$6="Nej",IF(Grupper!B1="vakant","",D2+E2+F2),0)</f>
        <v>3</v>
      </c>
      <c r="H2" s="70">
        <f>IF(Inställningar!$B$6="Nej",IF(Grupper!B1="vakant",0,(SUMIF(Schema!$F$10:$F$37,Tabell!C2,Schema!$I$10:$I$37)+SUMIF(Schema!$H$10:$H$37,Tabell!C2,Schema!$K$10:$K$37))),0)</f>
        <v>1</v>
      </c>
      <c r="I2" s="71" t="s">
        <v>58</v>
      </c>
      <c r="J2" s="72">
        <f>IF(Inställningar!$B$6="Nej",IF(Grupper!B1="vakant",0,SUMIF(Schema!$F$10:$F$37,Tabell!C2,Schema!$K$10:$K$37)+SUMIF(Schema!$H$10:$H$37,Tabell!C2,Schema!$I$10:$I$37)),0)</f>
        <v>5</v>
      </c>
      <c r="K2" s="69">
        <f>IF(Grupper!B1="vakant","",H2-J2)</f>
        <v>-4</v>
      </c>
      <c r="L2" s="69">
        <f>IF(Grupper!B1="vakant",-100,D2*3+E2*1+F2*0)</f>
        <v>2</v>
      </c>
    </row>
    <row r="3" spans="1:12" ht="12.75" customHeight="1" hidden="1">
      <c r="A3" s="65"/>
      <c r="B3" s="73" t="str">
        <f>+Grupper!A2</f>
        <v>A2</v>
      </c>
      <c r="C3" s="74" t="str">
        <f>IF(Inställningar!$B$6="Nej",IF(Grupper!B2="vakant","",Grupper!B2),0)</f>
        <v>Furulunds IK</v>
      </c>
      <c r="D3" s="75">
        <f>+IF(Inställningar!$B$6="NEJ",IF(Grupper!B2="vakant","",COUNTIF(Schema!N:N,"SANT")),0)</f>
        <v>1</v>
      </c>
      <c r="E3" s="75">
        <f>+IF(Inställningar!$B$6="NEJ",IF(Grupper!B2="vakant","",COUNTIF(Schema!AL:AL,"sant")),0)</f>
        <v>1</v>
      </c>
      <c r="F3" s="75">
        <f>+IF(Inställningar!$B$6="NEJ",IF(Grupper!B2="vakant","",COUNTIF(Schema!Z:Z,"sant")),0)</f>
        <v>1</v>
      </c>
      <c r="G3" s="76">
        <f>IF(Inställningar!$B$6="Nej",IF(Grupper!B2="vakant","",D3+E3+F3),0)</f>
        <v>3</v>
      </c>
      <c r="H3" s="77">
        <f>IF(Inställningar!$B$6="Nej",IF(Grupper!B2="vakant",0,(SUMIF(Schema!$F$10:$F$37,Tabell!C3,Schema!$I$10:$I$37)+SUMIF(Schema!$H$10:$H$37,Tabell!C3,Schema!$K$10:$K$37))),0)</f>
        <v>3</v>
      </c>
      <c r="I3" s="78" t="s">
        <v>58</v>
      </c>
      <c r="J3" s="79">
        <f>IF(Inställningar!$B$6="Nej",IF(Grupper!B2="vakant",0,SUMIF(Schema!$F$10:$F$37,Tabell!C3,Schema!$K$10:$K$37)+SUMIF(Schema!$H$10:$H$37,Tabell!C3,Schema!$I$10:$I$37)),0)</f>
        <v>4</v>
      </c>
      <c r="K3" s="76">
        <f>IF(Grupper!B2="vakant","",H3-J3)</f>
        <v>-1</v>
      </c>
      <c r="L3" s="76">
        <f>IF(Grupper!B2="vakant",-100,D3*3+E3*1+F3*0)</f>
        <v>4</v>
      </c>
    </row>
    <row r="4" spans="1:12" ht="12.75" customHeight="1" hidden="1">
      <c r="A4" s="65"/>
      <c r="B4" s="73" t="str">
        <f>+Grupper!A3</f>
        <v>A3</v>
      </c>
      <c r="C4" s="74" t="str">
        <f>IF(Inställningar!$B$6="Nej",IF(Grupper!B3="vakant","",Grupper!B3),0)</f>
        <v>BK Landora</v>
      </c>
      <c r="D4" s="75">
        <f>+IF(Inställningar!$B$6="NEJ",IF(Grupper!B3="vakant","",COUNTIF(Schema!O:O,"SANT")),0)</f>
        <v>2</v>
      </c>
      <c r="E4" s="75">
        <f>+IF(Inställningar!$B$6="NEJ",IF(Grupper!B3="vakant","",COUNTIF(Schema!AM:AM,"sant")),0)</f>
        <v>1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3</v>
      </c>
      <c r="H4" s="77">
        <f>IF(Inställningar!$B$6="Nej",IF(Grupper!B3="vakant",0,(SUMIF(Schema!$F$10:$F$37,Tabell!C4,Schema!$I$10:$I$37)+SUMIF(Schema!$H$10:$H$37,Tabell!C4,Schema!$K$10:$K$37))),0)</f>
        <v>6</v>
      </c>
      <c r="I4" s="78" t="s">
        <v>58</v>
      </c>
      <c r="J4" s="79">
        <f>IF(Inställningar!$B$6="Nej",IF(Grupper!B3="vakant",0,SUMIF(Schema!$F$10:$F$37,Tabell!C4,Schema!$K$10:$K$37)+SUMIF(Schema!$H$10:$H$37,Tabell!C4,Schema!$I$10:$I$37)),0)</f>
        <v>2</v>
      </c>
      <c r="K4" s="76">
        <f>IF(Grupper!B3="vakant","",H4-J4)</f>
        <v>4</v>
      </c>
      <c r="L4" s="76">
        <f>IF(Grupper!B3="vakant",-100,D4*3+E4*1+F4*0)</f>
        <v>7</v>
      </c>
    </row>
    <row r="5" spans="1:12" ht="12.75" customHeight="1" hidden="1">
      <c r="A5" s="65"/>
      <c r="B5" s="73" t="str">
        <f>+Grupper!A4</f>
        <v>A4</v>
      </c>
      <c r="C5" s="74" t="str">
        <f>IF(Inställningar!$B$6="Nej",IF(Grupper!B4="vakant","",Grupper!B4),0)</f>
        <v>Kågeröds BoIF</v>
      </c>
      <c r="D5" s="75">
        <f>+IF(Inställningar!$B$6="NEJ",IF(Grupper!B4="vakant","",COUNTIF(Schema!P:P,"SANT")),0)</f>
        <v>1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2</v>
      </c>
      <c r="G5" s="76">
        <f>IF(Inställningar!$B$6="Nej",IF(Grupper!B4="vakant","",D5+E5+F5),0)</f>
        <v>3</v>
      </c>
      <c r="H5" s="77">
        <f>IF(Inställningar!$B$6="Nej",IF(Grupper!B4="vakant",0,(SUMIF(Schema!$F$10:$F$37,Tabell!C5,Schema!$I$10:$I$37)+SUMIF(Schema!$H$10:$H$37,Tabell!C5,Schema!$K$10:$K$37))),0)</f>
        <v>4</v>
      </c>
      <c r="I5" s="78" t="s">
        <v>58</v>
      </c>
      <c r="J5" s="79">
        <f>IF(Inställningar!$B$6="Nej",IF(Grupper!B4="vakant",0,SUMIF(Schema!$F$10:$F$37,Tabell!C5,Schema!$K$10:$K$37)+SUMIF(Schema!$H$10:$H$37,Tabell!C5,Schema!$I$10:$I$37)),0)</f>
        <v>3</v>
      </c>
      <c r="K5" s="76">
        <f>IF(Grupper!B4="vakant","",H5-J5)</f>
        <v>1</v>
      </c>
      <c r="L5" s="76">
        <f>IF(Grupper!B4="vakant",-100,D5*3+E5*1+F5*0)</f>
        <v>3</v>
      </c>
    </row>
    <row r="6" spans="1:12" ht="12.75" customHeight="1" hidden="1">
      <c r="A6" s="65"/>
      <c r="B6" s="80" t="str">
        <f>+Grupper!A5</f>
        <v>A5</v>
      </c>
      <c r="C6" s="81">
        <f>IF(Inställningar!$B$6="Nej",IF(Grupper!B5="vakant","",Grupper!B5),0)</f>
      </c>
      <c r="D6" s="82">
        <f>+IF(Inställningar!$B$6="NEJ",IF(Grupper!B5="vakant","",COUNTIF(Schema!Q:Q,"SANT")),0)</f>
      </c>
      <c r="E6" s="82">
        <f>+IF(Inställningar!$B$6="NEJ",IF(Grupper!B5="vakant","",COUNTIF(Schema!AO:AO,"sant")),0)</f>
      </c>
      <c r="F6" s="82">
        <f>+IF(Inställningar!$B$6="NEJ",IF(Grupper!B5="vakant","",COUNTIF(Schema!AC:AC,"sant")),0)</f>
      </c>
      <c r="G6" s="83">
        <f>IF(Inställningar!$B$6="Nej",IF(Grupper!B5="vakant","",D6+E6+F6),0)</f>
      </c>
      <c r="H6" s="84">
        <f>IF(Inställningar!$B$6="Nej",IF(Grupper!B5="vakant",0,(SUMIF(Schema!$F$10:$F$37,Tabell!C6,Schema!$I$10:$I$37)+SUMIF(Schema!$H$10:$H$37,Tabell!C6,Schema!$K$10:$K$37))),0)</f>
        <v>0</v>
      </c>
      <c r="I6" s="85" t="s">
        <v>58</v>
      </c>
      <c r="J6" s="86">
        <f>IF(Inställningar!$B$6="Nej",IF(Grupper!B5="vakant",0,SUMIF(Schema!$F$10:$F$37,Tabell!C6,Schema!$K$10:$K$37)+SUMIF(Schema!$H$10:$H$37,Tabell!C6,Schema!$I$10:$I$37)),0)</f>
        <v>0</v>
      </c>
      <c r="K6" s="83">
        <f>IF(Grupper!B5="vakant","",H6-J6)</f>
      </c>
      <c r="L6" s="83">
        <f>IF(Grupper!B5="vakant",-100,D6*3+E6*1+F6*0)</f>
        <v>-100</v>
      </c>
    </row>
    <row r="7" spans="1:12" ht="12.75" customHeight="1" hidden="1">
      <c r="A7" s="65" t="s">
        <v>73</v>
      </c>
      <c r="B7" s="87" t="str">
        <f>+Grupper!A6</f>
        <v>A6</v>
      </c>
      <c r="C7" s="88" t="str">
        <f>IF(Inställningar!$B$6="Nej",IF(Grupper!B8="vakant","",Grupper!B8),0)</f>
        <v>Svalövs BK 2</v>
      </c>
      <c r="D7" s="89">
        <f>+IF(Inställningar!$B$6="NEJ",IF(Grupper!B8="vakant","",COUNTIF(Schema!T:T,"SANT")),0)</f>
        <v>1</v>
      </c>
      <c r="E7" s="89">
        <f>+IF(Inställningar!$B$6="NEJ",IF(Grupper!B8="vakant","",COUNTIF(Schema!AR:AR,"sant")),0)</f>
        <v>1</v>
      </c>
      <c r="F7" s="89">
        <f>+IF(Inställningar!$B$6="NEJ",IF(Grupper!B8="vakant","",COUNTIF(Schema!AF:AF,"sant")),0)</f>
        <v>1</v>
      </c>
      <c r="G7" s="90">
        <f>IF(Inställningar!$B$6="nej",IF(Grupper!B8="vakant","",D7+E7+F7),0)</f>
        <v>3</v>
      </c>
      <c r="H7" s="91">
        <f>IF(Inställningar!$B$6="Nej",IF(Grupper!B6="vakant",0,(SUMIF(Schema!$F$10:$F$37,Tabell!C7,Schema!$I$10:$I$37)+SUMIF(Schema!$H$10:$H$37,Tabell!C7,Schema!$K$10:$K$37))),0)</f>
        <v>3</v>
      </c>
      <c r="I7" s="92" t="s">
        <v>58</v>
      </c>
      <c r="J7" s="93">
        <f>IF(Inställningar!$B$6="Nej",IF(Grupper!B6="vakant",0,SUMIF(Schema!$F$10:$F$37,Tabell!C7,Schema!$K$10:$K$37)+SUMIF(Schema!$H$10:$H$37,Tabell!C7,Schema!$I$10:$I$37)),0)</f>
        <v>1</v>
      </c>
      <c r="K7" s="90">
        <f>IF(Grupper!B8="vakant","",H7-J7)</f>
        <v>2</v>
      </c>
      <c r="L7" s="90">
        <f>IF(Grupper!B8="vakant",-100,D7*3+E7*1+F7*0)</f>
        <v>4</v>
      </c>
    </row>
    <row r="8" spans="1:12" ht="12.75" customHeight="1" hidden="1">
      <c r="A8" s="65"/>
      <c r="B8" s="73" t="str">
        <f>+Grupper!A7</f>
        <v>A7</v>
      </c>
      <c r="C8" s="88" t="str">
        <f>IF(Inställningar!$B$6="Nej",IF(Grupper!B9="vakant","",Grupper!B9),0)</f>
        <v>Kullavägen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3</v>
      </c>
      <c r="G8" s="76">
        <f>IF(Inställningar!$B$6="nej",IF(Grupper!B9="vakant","",D8+E8+F8),0)</f>
        <v>3</v>
      </c>
      <c r="H8" s="77">
        <f>IF(Inställningar!$B$6="Nej",IF(Grupper!B7="vakant",0,(SUMIF(Schema!$F$10:$F$37,Tabell!C8,Schema!$I$10:$I$37)+SUMIF(Schema!$H$10:$H$37,Tabell!C8,Schema!$K$10:$K$37))),0)</f>
        <v>0</v>
      </c>
      <c r="I8" s="78" t="s">
        <v>58</v>
      </c>
      <c r="J8" s="79">
        <f>IF(Inställningar!$B$6="Nej",IF(Grupper!B7="vakant",0,SUMIF(Schema!$F$10:$F$37,Tabell!C8,Schema!$K$10:$K$37)+SUMIF(Schema!$H$10:$H$37,Tabell!C8,Schema!$I$10:$I$37)),0)</f>
        <v>9</v>
      </c>
      <c r="K8" s="76">
        <f>IF(Grupper!B9="vakant","",H8-J8)</f>
        <v>-9</v>
      </c>
      <c r="L8" s="76">
        <f>IF(Grupper!B9="vakant",-100,D8*3+E8*1+F8*0)</f>
        <v>0</v>
      </c>
    </row>
    <row r="9" spans="1:12" ht="12.75" customHeight="1" hidden="1">
      <c r="A9" s="65"/>
      <c r="B9" s="73" t="str">
        <f>+Grupper!A8</f>
        <v>B1</v>
      </c>
      <c r="C9" s="74" t="str">
        <f>IF(Inställningar!$B$6="Nej",IF(Grupper!B10="vakant","",Grupper!B10),0)</f>
        <v>Kyrkheddinge IF</v>
      </c>
      <c r="D9" s="75">
        <f>+IF(Inställningar!$B$6="NEJ",IF(Grupper!B10="vakant","",COUNTIF(Schema!V:V,"SANT")),0)</f>
        <v>2</v>
      </c>
      <c r="E9" s="75">
        <f>+IF(Inställningar!$B$6="NEJ",IF(Grupper!B10="vakant","",COUNTIF(Schema!AT:AT,"sant")),0)</f>
        <v>1</v>
      </c>
      <c r="F9" s="75">
        <f>+IF(Inställningar!$B$6="NEJ",IF(Grupper!B10="vakant","",COUNTIF(Schema!AH:AH,"sant")),0)</f>
        <v>0</v>
      </c>
      <c r="G9" s="76">
        <f>IF(Inställningar!$B$6="nej",IF(Grupper!B10="vakant","",D9+E9+F9),0)</f>
        <v>3</v>
      </c>
      <c r="H9" s="77">
        <f>IF(Inställningar!$B$6="Nej",IF(Grupper!B8="vakant",0,(SUMIF(Schema!$F$10:$F$37,Tabell!C9,Schema!$I$10:$I$37)+SUMIF(Schema!$H$10:$H$37,Tabell!C9,Schema!$K$10:$K$37))),0)</f>
        <v>4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0</v>
      </c>
      <c r="K9" s="76">
        <f>IF(Grupper!B10="vakant","",H9-J9)</f>
        <v>4</v>
      </c>
      <c r="L9" s="76">
        <f>IF(Grupper!B10="vakant",-100,D9*3+E9*1+F9*0)</f>
        <v>7</v>
      </c>
    </row>
    <row r="10" spans="1:12" ht="12.75" customHeight="1" hidden="1">
      <c r="A10" s="65"/>
      <c r="B10" s="73" t="str">
        <f>+Grupper!A9</f>
        <v>B2</v>
      </c>
      <c r="C10" s="74" t="str">
        <f>IF(Inställningar!$B$6="Nej",IF(Grupper!B11="vakant","",Grupper!B11),0)</f>
        <v>Borstahusens BK</v>
      </c>
      <c r="D10" s="75">
        <f>+IF(Inställningar!$B$6="NEJ",IF(Grupper!B11="vakant","",COUNTIF(Schema!W:W,"SANT")),0)</f>
        <v>1</v>
      </c>
      <c r="E10" s="75">
        <f>+IF(Inställningar!$B$6="NEJ",IF(Grupper!B11="vakant","",COUNTIF(Schema!AU:AU,"sant")),0)</f>
        <v>2</v>
      </c>
      <c r="F10" s="75">
        <f>+IF(Inställningar!$B$6="NEJ",IF(Grupper!B11="vakant","",COUNTIF(Schema!AI:AI,"sant")),0)</f>
        <v>0</v>
      </c>
      <c r="G10" s="76">
        <f>IF(Inställningar!$B$6="nej",IF(Grupper!B11="vakant","",D10+E10+F10),0)</f>
        <v>3</v>
      </c>
      <c r="H10" s="77">
        <f>IF(Inställningar!$B$6="Nej",IF(Grupper!B9="vakant",0,(SUMIF(Schema!$F$10:$F$37,Tabell!C10,Schema!$I$10:$I$37)+SUMIF(Schema!$H$10:$H$37,Tabell!C10,Schema!$K$10:$K$37))),0)</f>
        <v>3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0</v>
      </c>
      <c r="K10" s="76">
        <f>IF(Grupper!B11="vakant","",H10-J10)</f>
        <v>3</v>
      </c>
      <c r="L10" s="76">
        <f>IF(Grupper!B11="vakant",-100,D10*3+E10*1+F10*0)</f>
        <v>5</v>
      </c>
    </row>
    <row r="11" spans="1:12" ht="12.75" customHeight="1" hidden="1">
      <c r="A11" s="65"/>
      <c r="B11" s="80" t="str">
        <f>+Grupper!A10</f>
        <v>B3</v>
      </c>
      <c r="C11" s="81">
        <f>IF(Inställningar!$B$6="Nej",IF(Grupper!B12="vakant","",Grupper!B12),0)</f>
      </c>
      <c r="D11" s="82">
        <f>+IF(Inställningar!$B$6="NEJ",IF(Grupper!B12="vakant","",COUNTIF(Schema!X:X,"SANT")),0)</f>
      </c>
      <c r="E11" s="82">
        <f>+IF(Inställningar!$B$6="NEJ",IF(Grupper!B12="vakant","",COUNTIF(Schema!AV:AV,"sant")),0)</f>
      </c>
      <c r="F11" s="82">
        <f>+IF(Inställningar!$B$6="NEJ",IF(Grupper!B12="vakant","",COUNTIF(Schema!AJ:AJ,"sant")),0)</f>
      </c>
      <c r="G11" s="83">
        <f>IF(Inställningar!$B$6="nej",IF(Grupper!B12="vakant","",D11+E11+F11),0)</f>
      </c>
      <c r="H11" s="82">
        <f>IF(Inställningar!$B$6="Nej",IF(Grupper!B10="vakant",0,(SUMIF(Schema!$F$10:$F$37,Tabell!C11,Schema!$I$10:$I$37)+SUMIF(Schema!$H$10:$H$37,Tabell!C11,Schema!$K$10:$K$37))),0)</f>
        <v>0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0</v>
      </c>
      <c r="K11" s="83">
        <f>IF(Grupper!B12="vakant","",H11-J11)</f>
      </c>
      <c r="L11" s="83">
        <f>IF(Grupper!B12="vakant",-100,D11*3+E11*1+F11*0)</f>
        <v>-100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5"/>
      <c r="B14" s="97" t="s">
        <v>31</v>
      </c>
      <c r="C14" s="98" t="s">
        <v>82</v>
      </c>
      <c r="D14" s="68">
        <v>2</v>
      </c>
      <c r="E14" s="68">
        <v>1</v>
      </c>
      <c r="F14" s="68">
        <v>0</v>
      </c>
      <c r="G14" s="99">
        <v>3</v>
      </c>
      <c r="H14" s="100">
        <v>6</v>
      </c>
      <c r="I14" s="68" t="s">
        <v>58</v>
      </c>
      <c r="J14" s="101">
        <v>2</v>
      </c>
      <c r="K14" s="99">
        <v>4</v>
      </c>
      <c r="L14" s="99">
        <v>7</v>
      </c>
    </row>
    <row r="15" spans="1:12" ht="29.25" customHeight="1">
      <c r="A15" s="125"/>
      <c r="B15" s="102" t="s">
        <v>30</v>
      </c>
      <c r="C15" s="103" t="s">
        <v>81</v>
      </c>
      <c r="D15" s="75">
        <v>1</v>
      </c>
      <c r="E15" s="75">
        <v>1</v>
      </c>
      <c r="F15" s="75">
        <v>1</v>
      </c>
      <c r="G15" s="104">
        <v>3</v>
      </c>
      <c r="H15" s="105">
        <v>3</v>
      </c>
      <c r="I15" s="75" t="s">
        <v>58</v>
      </c>
      <c r="J15" s="106">
        <v>4</v>
      </c>
      <c r="K15" s="104">
        <v>-1</v>
      </c>
      <c r="L15" s="104">
        <v>4</v>
      </c>
    </row>
    <row r="16" spans="1:12" ht="29.25" customHeight="1">
      <c r="A16" s="125"/>
      <c r="B16" s="102" t="s">
        <v>32</v>
      </c>
      <c r="C16" s="103" t="s">
        <v>83</v>
      </c>
      <c r="D16" s="75">
        <v>1</v>
      </c>
      <c r="E16" s="75">
        <v>0</v>
      </c>
      <c r="F16" s="75">
        <v>2</v>
      </c>
      <c r="G16" s="104">
        <v>3</v>
      </c>
      <c r="H16" s="105">
        <v>4</v>
      </c>
      <c r="I16" s="75" t="s">
        <v>58</v>
      </c>
      <c r="J16" s="106">
        <v>3</v>
      </c>
      <c r="K16" s="104">
        <v>1</v>
      </c>
      <c r="L16" s="104">
        <v>3</v>
      </c>
    </row>
    <row r="17" spans="1:12" ht="29.25" customHeight="1">
      <c r="A17" s="125"/>
      <c r="B17" s="102" t="s">
        <v>29</v>
      </c>
      <c r="C17" s="103" t="s">
        <v>79</v>
      </c>
      <c r="D17" s="75">
        <v>0</v>
      </c>
      <c r="E17" s="75">
        <v>2</v>
      </c>
      <c r="F17" s="75">
        <v>1</v>
      </c>
      <c r="G17" s="104">
        <v>3</v>
      </c>
      <c r="H17" s="105">
        <v>1</v>
      </c>
      <c r="I17" s="75" t="s">
        <v>58</v>
      </c>
      <c r="J17" s="106">
        <v>5</v>
      </c>
      <c r="K17" s="104">
        <v>-4</v>
      </c>
      <c r="L17" s="104">
        <v>2</v>
      </c>
    </row>
    <row r="18" spans="1:12" ht="29.25" customHeight="1">
      <c r="A18" s="125"/>
      <c r="B18" s="107" t="s">
        <v>33</v>
      </c>
      <c r="C18" s="108" t="s">
        <v>88</v>
      </c>
      <c r="D18" s="82" t="s">
        <v>88</v>
      </c>
      <c r="E18" s="82" t="s">
        <v>88</v>
      </c>
      <c r="F18" s="82" t="s">
        <v>88</v>
      </c>
      <c r="G18" s="109" t="s">
        <v>88</v>
      </c>
      <c r="H18" s="110">
        <v>0</v>
      </c>
      <c r="I18" s="82" t="s">
        <v>58</v>
      </c>
      <c r="J18" s="111">
        <v>0</v>
      </c>
      <c r="K18" s="109" t="s">
        <v>88</v>
      </c>
      <c r="L18" s="109">
        <v>-100</v>
      </c>
    </row>
    <row r="19" spans="1:12" ht="29.25" customHeight="1">
      <c r="A19" s="125"/>
      <c r="B19" s="112" t="s">
        <v>36</v>
      </c>
      <c r="C19" s="113" t="s">
        <v>75</v>
      </c>
      <c r="D19" s="89">
        <v>2</v>
      </c>
      <c r="E19" s="89">
        <v>1</v>
      </c>
      <c r="F19" s="89">
        <v>0</v>
      </c>
      <c r="G19" s="114">
        <v>3</v>
      </c>
      <c r="H19" s="115">
        <v>4</v>
      </c>
      <c r="I19" s="89" t="s">
        <v>58</v>
      </c>
      <c r="J19" s="116">
        <v>0</v>
      </c>
      <c r="K19" s="114">
        <v>4</v>
      </c>
      <c r="L19" s="114">
        <v>7</v>
      </c>
    </row>
    <row r="20" spans="1:12" ht="29.25" customHeight="1">
      <c r="A20" s="125"/>
      <c r="B20" s="102" t="s">
        <v>37</v>
      </c>
      <c r="C20" s="103" t="s">
        <v>85</v>
      </c>
      <c r="D20" s="75">
        <v>1</v>
      </c>
      <c r="E20" s="75">
        <v>2</v>
      </c>
      <c r="F20" s="75">
        <v>0</v>
      </c>
      <c r="G20" s="104">
        <v>3</v>
      </c>
      <c r="H20" s="105">
        <v>3</v>
      </c>
      <c r="I20" s="75" t="s">
        <v>58</v>
      </c>
      <c r="J20" s="106">
        <v>0</v>
      </c>
      <c r="K20" s="104">
        <v>3</v>
      </c>
      <c r="L20" s="104">
        <v>5</v>
      </c>
    </row>
    <row r="21" spans="1:12" ht="29.25" customHeight="1">
      <c r="A21" s="125"/>
      <c r="B21" s="102" t="s">
        <v>34</v>
      </c>
      <c r="C21" s="103" t="s">
        <v>80</v>
      </c>
      <c r="D21" s="75">
        <v>1</v>
      </c>
      <c r="E21" s="75">
        <v>1</v>
      </c>
      <c r="F21" s="75">
        <v>1</v>
      </c>
      <c r="G21" s="104">
        <v>3</v>
      </c>
      <c r="H21" s="105">
        <v>3</v>
      </c>
      <c r="I21" s="75" t="s">
        <v>58</v>
      </c>
      <c r="J21" s="106">
        <v>1</v>
      </c>
      <c r="K21" s="104">
        <v>2</v>
      </c>
      <c r="L21" s="104">
        <v>4</v>
      </c>
    </row>
    <row r="22" spans="1:12" ht="29.25" customHeight="1">
      <c r="A22" s="125"/>
      <c r="B22" s="102" t="s">
        <v>35</v>
      </c>
      <c r="C22" s="103" t="s">
        <v>84</v>
      </c>
      <c r="D22" s="75">
        <v>0</v>
      </c>
      <c r="E22" s="75">
        <v>0</v>
      </c>
      <c r="F22" s="75">
        <v>3</v>
      </c>
      <c r="G22" s="104">
        <v>3</v>
      </c>
      <c r="H22" s="105">
        <v>0</v>
      </c>
      <c r="I22" s="75" t="s">
        <v>58</v>
      </c>
      <c r="J22" s="106">
        <v>9</v>
      </c>
      <c r="K22" s="104">
        <v>-9</v>
      </c>
      <c r="L22" s="104">
        <v>0</v>
      </c>
    </row>
    <row r="23" spans="1:12" ht="29.25" customHeight="1">
      <c r="A23" s="125"/>
      <c r="B23" s="107" t="s">
        <v>38</v>
      </c>
      <c r="C23" s="108" t="s">
        <v>88</v>
      </c>
      <c r="D23" s="82" t="s">
        <v>88</v>
      </c>
      <c r="E23" s="82" t="s">
        <v>88</v>
      </c>
      <c r="F23" s="82" t="s">
        <v>88</v>
      </c>
      <c r="G23" s="109" t="s">
        <v>88</v>
      </c>
      <c r="H23" s="110">
        <v>0</v>
      </c>
      <c r="I23" s="82" t="s">
        <v>58</v>
      </c>
      <c r="J23" s="111">
        <v>0</v>
      </c>
      <c r="K23" s="109" t="s">
        <v>88</v>
      </c>
      <c r="L23" s="109">
        <v>-100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0" operator="equal" stopIfTrue="1">
      <formula>-100</formula>
    </cfRule>
  </conditionalFormatting>
  <conditionalFormatting sqref="B13:L23">
    <cfRule type="cellIs" priority="2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64</v>
      </c>
      <c r="E1" s="27" t="s">
        <v>65</v>
      </c>
      <c r="F1" s="27" t="s">
        <v>66</v>
      </c>
      <c r="G1" s="27" t="s">
        <v>67</v>
      </c>
      <c r="H1" s="27" t="s">
        <v>68</v>
      </c>
      <c r="I1" s="27"/>
      <c r="J1" s="27" t="s">
        <v>69</v>
      </c>
      <c r="K1" s="27" t="s">
        <v>70</v>
      </c>
      <c r="L1" s="27" t="s">
        <v>71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Svalövs BK 1</v>
      </c>
      <c r="D2" s="70">
        <f>IF(Grupper!B1="vakant","",COUNTIF(Schema!M:M,"sant"))</f>
        <v>0</v>
      </c>
      <c r="E2" s="71">
        <f>IF(Grupper!B1="vakant","",COUNTIF(Schema!AK:AK,"sant"))</f>
        <v>2</v>
      </c>
      <c r="F2" s="72">
        <f>IF(Grupper!B1="vakant","",COUNTIF(Schema!Y:Y,"sant"))</f>
        <v>1</v>
      </c>
      <c r="G2" s="69">
        <f>IF(Grupper!B1="vakant","",D2+E2+F2)</f>
        <v>3</v>
      </c>
      <c r="H2" s="70">
        <f>IF(Grupper!B1="vakant","",(SUMIF(Schema!$F$10:$F$37,'Tabell alla'!C2,Schema!$I$10:$I$37)+SUMIF(Schema!$H$10:$H$37,'Tabell alla'!C2,Schema!$K$10:$K$37)))</f>
        <v>1</v>
      </c>
      <c r="I2" s="71" t="s">
        <v>58</v>
      </c>
      <c r="J2" s="72">
        <f>IF(Grupper!B1="vakant","",SUMIF(Schema!$F$10:$F$37,'Tabell alla'!C2,Schema!$K$10:$K$37)+SUMIF(Schema!$H$10:$H$37,'Tabell alla'!C2,Schema!$I$10:$I$37))</f>
        <v>5</v>
      </c>
      <c r="K2" s="69">
        <f>IF(Grupper!B1="vakant","",H2-J2)</f>
        <v>-4</v>
      </c>
      <c r="L2" s="69">
        <f>IF(Grupper!B1="vakant",-100,D2*3+E2*1+F2*0)</f>
        <v>2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Furulunds IK</v>
      </c>
      <c r="D3" s="77">
        <f>IF(Grupper!B2="vakant","",COUNTIF(Schema!N:N,"sant"))</f>
        <v>1</v>
      </c>
      <c r="E3" s="78">
        <f>IF(Grupper!B2="vakant","",COUNTIF(Schema!AL:AL,"sant"))</f>
        <v>1</v>
      </c>
      <c r="F3" s="79">
        <f>IF(Grupper!B2="vakant","",COUNTIF(Schema!Z:Z,"sant"))</f>
        <v>1</v>
      </c>
      <c r="G3" s="76">
        <f>IF(Grupper!B2="vakant","",D3+E3+F3)</f>
        <v>3</v>
      </c>
      <c r="H3" s="77">
        <f>IF(Grupper!B2="vakant","",(SUMIF(Schema!$F$10:$F$37,'Tabell alla'!C3,Schema!$I$10:$I$37)+SUMIF(Schema!$H$10:$H$37,'Tabell alla'!C3,Schema!$K$10:$K$37)))</f>
        <v>3</v>
      </c>
      <c r="I3" s="78" t="s">
        <v>58</v>
      </c>
      <c r="J3" s="79">
        <f>IF(Grupper!B2="vakant","",SUMIF(Schema!$F$10:$F$37,'Tabell alla'!C3,Schema!$K$10:$K$37)+SUMIF(Schema!$H$10:$H$37,'Tabell alla'!C3,Schema!$I$10:$I$37))</f>
        <v>4</v>
      </c>
      <c r="K3" s="76">
        <f>IF(Grupper!B2="vakant","",H3-J3)</f>
        <v>-1</v>
      </c>
      <c r="L3" s="76">
        <f>IF(Grupper!B2="vakant",-100,D3*3+E3*1+F3*0)</f>
        <v>4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BK Landora</v>
      </c>
      <c r="D4" s="77">
        <f>IF(Grupper!B3="vakant","",COUNTIF(Schema!O:O,"sant"))</f>
        <v>2</v>
      </c>
      <c r="E4" s="78">
        <f>IF(Grupper!B3="vakant","",COUNTIF(Schema!AM:AM,"sant"))</f>
        <v>1</v>
      </c>
      <c r="F4" s="79">
        <f>IF(Grupper!B3="vakant","",COUNTIF(Schema!AA:AA,"sant"))</f>
        <v>0</v>
      </c>
      <c r="G4" s="76">
        <f>IF(Grupper!B3="vakant","",D4+E4+F4)</f>
        <v>3</v>
      </c>
      <c r="H4" s="77">
        <f>IF(Grupper!B3="vakant","",(SUMIF(Schema!$F$10:$F$37,'Tabell alla'!C4,Schema!$I$10:$I$37)+SUMIF(Schema!$H$10:$H$37,'Tabell alla'!C4,Schema!$K$10:$K$37)))</f>
        <v>6</v>
      </c>
      <c r="I4" s="78" t="s">
        <v>58</v>
      </c>
      <c r="J4" s="79">
        <f>IF(Grupper!B3="vakant","",SUMIF(Schema!$F$10:$F$37,'Tabell alla'!C4,Schema!$K$10:$K$37)+SUMIF(Schema!$H$10:$H$37,'Tabell alla'!C4,Schema!$I$10:$I$37))</f>
        <v>2</v>
      </c>
      <c r="K4" s="76">
        <f>IF(Grupper!B3="vakant","",H4-J4)</f>
        <v>4</v>
      </c>
      <c r="L4" s="76">
        <f>IF(Grupper!B3="vakant",-100,D4*3+E4*1+F4*0)</f>
        <v>7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Kågeröds BoIF</v>
      </c>
      <c r="D5" s="77">
        <f>IF(Grupper!B4="vakant","",COUNTIF(Schema!P:P,"sant"))</f>
        <v>1</v>
      </c>
      <c r="E5" s="78">
        <f>IF(Grupper!B4="vakant","",COUNTIF(Schema!AN:AN,"sant"))</f>
        <v>0</v>
      </c>
      <c r="F5" s="79">
        <f>IF(Grupper!B4="vakant","",COUNTIF(Schema!AB:AB,"sant"))</f>
        <v>2</v>
      </c>
      <c r="G5" s="76">
        <f>IF(Grupper!B4="vakant","",D5+E5+F5)</f>
        <v>3</v>
      </c>
      <c r="H5" s="77">
        <f>IF(Grupper!B4="vakant","",(SUMIF(Schema!$F$10:$F$37,'Tabell alla'!C5,Schema!$I$10:$I$37)+SUMIF(Schema!$H$10:$H$37,'Tabell alla'!C5,Schema!$K$10:$K$37)))</f>
        <v>4</v>
      </c>
      <c r="I5" s="78" t="s">
        <v>58</v>
      </c>
      <c r="J5" s="79">
        <f>IF(Grupper!B4="vakant","",SUMIF(Schema!$F$10:$F$37,'Tabell alla'!C5,Schema!$K$10:$K$37)+SUMIF(Schema!$H$10:$H$37,'Tabell alla'!C5,Schema!$I$10:$I$37))</f>
        <v>3</v>
      </c>
      <c r="K5" s="76">
        <f>IF(Grupper!B4="vakant","",H5-J5)</f>
        <v>1</v>
      </c>
      <c r="L5" s="76">
        <f>IF(Grupper!B4="vakant",-100,D5*3+E5*1+F5*0)</f>
        <v>3</v>
      </c>
    </row>
    <row r="6" spans="1:12" ht="12.75" customHeight="1" hidden="1">
      <c r="A6" s="65"/>
      <c r="B6" s="73" t="str">
        <f>+Grupper!A5</f>
        <v>A5</v>
      </c>
      <c r="C6" s="74">
        <f>IF(Grupper!B5="vakant","",Grupper!B5)</f>
      </c>
      <c r="D6" s="77">
        <f>IF(Grupper!B5="vakant","",COUNTIF(Schema!Q:Q,"sant"))</f>
      </c>
      <c r="E6" s="78">
        <f>IF(Grupper!B5="vakant","",COUNTIF(Schema!AO:AO,"sant"))</f>
      </c>
      <c r="F6" s="79">
        <f>IF(Grupper!B5="vakant","",COUNTIF(Schema!AC:AC,"sant"))</f>
      </c>
      <c r="G6" s="76">
        <f>IF(Grupper!B5="vakant","",D6+E6+F6)</f>
      </c>
      <c r="H6" s="77">
        <f>IF(Grupper!B5="vakant","",(SUMIF(Schema!$F$10:$F$37,'Tabell alla'!C6,Schema!$I$10:$I$37)+SUMIF(Schema!$H$10:$H$37,'Tabell alla'!C6,Schema!$K$10:$K$37)))</f>
      </c>
      <c r="I6" s="78" t="s">
        <v>58</v>
      </c>
      <c r="J6" s="79">
        <f>IF(Grupper!B5="vakant","",SUMIF(Schema!$F$10:$F$37,'Tabell alla'!C6,Schema!$K$10:$K$37)+SUMIF(Schema!$H$10:$H$37,'Tabell alla'!C6,Schema!$I$10:$I$37))</f>
      </c>
      <c r="K6" s="76">
        <f>IF(Grupper!B5="vakant","",H6-J6)</f>
      </c>
      <c r="L6" s="76">
        <f>IF(Grupper!B5="vakant",-100,D6*3+E6*1+F6*0)</f>
        <v>-100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58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58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64</v>
      </c>
      <c r="E10" s="41" t="s">
        <v>65</v>
      </c>
      <c r="F10" s="41" t="s">
        <v>66</v>
      </c>
      <c r="G10" s="41" t="s">
        <v>67</v>
      </c>
      <c r="H10" s="41" t="s">
        <v>68</v>
      </c>
      <c r="I10" s="41"/>
      <c r="J10" s="41" t="s">
        <v>69</v>
      </c>
      <c r="K10" s="41" t="s">
        <v>70</v>
      </c>
      <c r="L10" s="41" t="s">
        <v>71</v>
      </c>
    </row>
    <row r="11" spans="1:12" ht="29.25" customHeight="1">
      <c r="A11" s="65"/>
      <c r="B11" s="97" t="s">
        <v>34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58</v>
      </c>
      <c r="J11" s="101">
        <v>7</v>
      </c>
      <c r="K11" s="99">
        <v>19</v>
      </c>
      <c r="L11" s="99">
        <v>12</v>
      </c>
    </row>
    <row r="12" spans="1:12" ht="29.25" customHeight="1">
      <c r="A12" s="65"/>
      <c r="B12" s="102" t="s">
        <v>33</v>
      </c>
      <c r="C12" s="103" t="s">
        <v>74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58</v>
      </c>
      <c r="J12" s="106">
        <v>7</v>
      </c>
      <c r="K12" s="104">
        <v>4</v>
      </c>
      <c r="L12" s="104">
        <v>10</v>
      </c>
    </row>
    <row r="13" spans="1:12" ht="29.25" customHeight="1">
      <c r="A13" s="65"/>
      <c r="B13" s="102" t="s">
        <v>29</v>
      </c>
      <c r="C13" s="103" t="s">
        <v>75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58</v>
      </c>
      <c r="J13" s="106">
        <v>12</v>
      </c>
      <c r="K13" s="104">
        <v>1</v>
      </c>
      <c r="L13" s="104">
        <v>10</v>
      </c>
    </row>
    <row r="14" spans="1:12" ht="29.25" customHeight="1">
      <c r="A14" s="65"/>
      <c r="B14" s="102" t="s">
        <v>32</v>
      </c>
      <c r="C14" s="103" t="s">
        <v>76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58</v>
      </c>
      <c r="J14" s="106">
        <v>9</v>
      </c>
      <c r="K14" s="104">
        <v>-3</v>
      </c>
      <c r="L14" s="104">
        <v>4</v>
      </c>
    </row>
    <row r="15" spans="1:12" ht="29.25" customHeight="1">
      <c r="A15" s="65"/>
      <c r="B15" s="102" t="s">
        <v>30</v>
      </c>
      <c r="C15" s="103" t="s">
        <v>77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58</v>
      </c>
      <c r="J15" s="106">
        <v>15</v>
      </c>
      <c r="K15" s="104">
        <v>-5</v>
      </c>
      <c r="L15" s="104">
        <v>4</v>
      </c>
    </row>
    <row r="16" spans="1:12" ht="29.25" customHeight="1">
      <c r="A16" s="65"/>
      <c r="B16" s="102" t="s">
        <v>31</v>
      </c>
      <c r="C16" s="103" t="s">
        <v>78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58</v>
      </c>
      <c r="J16" s="106">
        <v>23</v>
      </c>
      <c r="K16" s="104">
        <v>-16</v>
      </c>
      <c r="L16" s="104">
        <v>3</v>
      </c>
    </row>
    <row r="17" spans="1:12" ht="29.25" customHeight="1">
      <c r="A17" s="65"/>
      <c r="B17" s="107" t="s">
        <v>35</v>
      </c>
      <c r="C17" s="118"/>
      <c r="D17" s="110"/>
      <c r="E17" s="82"/>
      <c r="F17" s="111"/>
      <c r="G17" s="109"/>
      <c r="H17" s="110"/>
      <c r="I17" s="82" t="s">
        <v>58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Svalov</dc:creator>
  <cp:keywords/>
  <dc:description/>
  <cp:lastModifiedBy>Svalov</cp:lastModifiedBy>
  <dcterms:created xsi:type="dcterms:W3CDTF">2014-11-16T19:56:16Z</dcterms:created>
  <dcterms:modified xsi:type="dcterms:W3CDTF">2014-11-16T19:56:36Z</dcterms:modified>
  <cp:category/>
  <cp:version/>
  <cp:contentType/>
  <cp:contentStatus/>
</cp:coreProperties>
</file>