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120" yWindow="195" windowWidth="15030" windowHeight="8640" firstSheet="1" activeTab="2"/>
  </bookViews>
  <sheets>
    <sheet name="T" sheetId="2" state="hidden" r:id="rId1"/>
    <sheet name="Settings" sheetId="3" r:id="rId2"/>
    <sheet name="UEFA Euro 2012" sheetId="1" r:id="rId3"/>
  </sheets>
  <definedNames>
    <definedName name="GMT">Settings!$C$31</definedName>
    <definedName name="GMT_MIN">Settings!$C$57</definedName>
    <definedName name="language">Settings!$C$66</definedName>
    <definedName name="_xlnm.Print_Area" localSheetId="2">'UEFA Euro 2012'!$A$1:$P$52</definedName>
    <definedName name="T">T!$1:$1048576</definedName>
    <definedName name="team_rnk">Settings!$B$14:$C$29</definedName>
  </definedNames>
  <calcPr calcId="114210" fullCalcOnLoad="1"/>
</workbook>
</file>

<file path=xl/calcChain.xml><?xml version="1.0" encoding="utf-8"?>
<calcChain xmlns="http://schemas.openxmlformats.org/spreadsheetml/2006/main">
  <c r="C31" i="3"/>
  <c r="R50" i="1"/>
  <c r="R9"/>
  <c r="R13"/>
  <c r="R17"/>
  <c r="R21"/>
  <c r="R25"/>
  <c r="R29"/>
  <c r="R40"/>
  <c r="R7"/>
  <c r="R11"/>
  <c r="R15"/>
  <c r="R19"/>
  <c r="R23"/>
  <c r="R27"/>
  <c r="R38"/>
  <c r="R45"/>
  <c r="R8"/>
  <c r="R10"/>
  <c r="R12"/>
  <c r="R14"/>
  <c r="R16"/>
  <c r="R18"/>
  <c r="R20"/>
  <c r="R22"/>
  <c r="R24"/>
  <c r="R26"/>
  <c r="R28"/>
  <c r="R30"/>
  <c r="R39"/>
  <c r="R41"/>
  <c r="R46"/>
  <c r="C66" i="3"/>
  <c r="K5" i="1"/>
  <c r="H23"/>
  <c r="N3"/>
  <c r="C57" i="3"/>
  <c r="AP34" i="1"/>
  <c r="AQ35"/>
  <c r="AP35"/>
  <c r="AQ34"/>
  <c r="B29" i="3"/>
  <c r="B21"/>
  <c r="K26" i="1"/>
  <c r="H30"/>
  <c r="T30"/>
  <c r="T22"/>
  <c r="T17"/>
  <c r="T10"/>
  <c r="G15"/>
  <c r="N19"/>
  <c r="T23"/>
  <c r="T21"/>
  <c r="G27"/>
  <c r="O19"/>
  <c r="N5"/>
  <c r="A1"/>
  <c r="B18" i="3"/>
  <c r="B19"/>
  <c r="T28" i="1"/>
  <c r="G22"/>
  <c r="B24" i="3"/>
  <c r="D43" i="1"/>
  <c r="P26"/>
  <c r="P19"/>
  <c r="B20" i="3"/>
  <c r="O12" i="1"/>
  <c r="O5"/>
  <c r="D36"/>
  <c r="T8"/>
  <c r="D23"/>
  <c r="T29"/>
  <c r="G21"/>
  <c r="T24"/>
  <c r="T7"/>
  <c r="D16"/>
  <c r="AO16"/>
  <c r="T15"/>
  <c r="L5"/>
  <c r="T9"/>
  <c r="G23"/>
  <c r="P12"/>
  <c r="A52"/>
  <c r="B26" i="3"/>
  <c r="B27"/>
  <c r="M19" i="1"/>
  <c r="B25" i="3"/>
  <c r="M12" i="1"/>
  <c r="K19"/>
  <c r="H13"/>
  <c r="H27"/>
  <c r="H14"/>
  <c r="D24"/>
  <c r="AO24"/>
  <c r="D5"/>
  <c r="P5"/>
  <c r="M5"/>
  <c r="D48"/>
  <c r="L12"/>
  <c r="O26"/>
  <c r="T16"/>
  <c r="N12"/>
  <c r="B14" i="3"/>
  <c r="B22"/>
  <c r="B15"/>
  <c r="B23"/>
  <c r="H20" i="1"/>
  <c r="M26"/>
  <c r="B16" i="3"/>
  <c r="B17"/>
  <c r="B28"/>
  <c r="T14" i="1"/>
  <c r="H12"/>
  <c r="L26"/>
  <c r="N26"/>
  <c r="L19"/>
  <c r="K12"/>
  <c r="H25"/>
  <c r="A3"/>
  <c r="K3"/>
  <c r="B9"/>
  <c r="B30"/>
  <c r="B20"/>
  <c r="B8"/>
  <c r="B40"/>
  <c r="B28"/>
  <c r="B16"/>
  <c r="B26"/>
  <c r="B11"/>
  <c r="A28"/>
  <c r="B45"/>
  <c r="B19"/>
  <c r="H22"/>
  <c r="G29"/>
  <c r="AU29"/>
  <c r="D7"/>
  <c r="AO7"/>
  <c r="D30"/>
  <c r="AQ30"/>
  <c r="H16"/>
  <c r="H29"/>
  <c r="H21"/>
  <c r="G8"/>
  <c r="D19"/>
  <c r="D22"/>
  <c r="G10"/>
  <c r="AU10"/>
  <c r="T31"/>
  <c r="B50"/>
  <c r="AQ24"/>
  <c r="AQ7"/>
  <c r="G9"/>
  <c r="AS9"/>
  <c r="AU22"/>
  <c r="AS22"/>
  <c r="H8"/>
  <c r="D8"/>
  <c r="AQ8"/>
  <c r="G7"/>
  <c r="D13"/>
  <c r="AO13"/>
  <c r="AQ16"/>
  <c r="AU9"/>
  <c r="AS10"/>
  <c r="G19"/>
  <c r="D15"/>
  <c r="G16"/>
  <c r="G13"/>
  <c r="D10"/>
  <c r="H24"/>
  <c r="H7"/>
  <c r="H28"/>
  <c r="H15"/>
  <c r="AO23"/>
  <c r="AQ23"/>
  <c r="AU21"/>
  <c r="AS21"/>
  <c r="AU23"/>
  <c r="AS23"/>
  <c r="AU15"/>
  <c r="AS15"/>
  <c r="G25"/>
  <c r="AS29"/>
  <c r="G24"/>
  <c r="D12"/>
  <c r="AP38"/>
  <c r="AO38"/>
  <c r="D45"/>
  <c r="AP39"/>
  <c r="AO39"/>
  <c r="D46"/>
  <c r="AP40"/>
  <c r="AO40"/>
  <c r="G45"/>
  <c r="AP41"/>
  <c r="AO41"/>
  <c r="G46"/>
  <c r="AP45"/>
  <c r="AO45"/>
  <c r="D50"/>
  <c r="AR45"/>
  <c r="AQ45"/>
  <c r="AR46"/>
  <c r="AQ46"/>
  <c r="AP46"/>
  <c r="AO46"/>
  <c r="G50"/>
  <c r="AP50"/>
  <c r="AO50"/>
  <c r="E52"/>
  <c r="AQ38"/>
  <c r="AQ39"/>
  <c r="AQ40"/>
  <c r="AQ41"/>
  <c r="AT45"/>
  <c r="AS45"/>
  <c r="AT46"/>
  <c r="AS46"/>
  <c r="AQ50"/>
  <c r="AV9"/>
  <c r="AX9"/>
  <c r="AP9"/>
  <c r="AW9"/>
  <c r="AR9"/>
  <c r="AT9"/>
  <c r="AP10"/>
  <c r="AV10"/>
  <c r="AX10"/>
  <c r="AW10"/>
  <c r="AT10"/>
  <c r="AR10"/>
  <c r="AX13"/>
  <c r="AV13"/>
  <c r="AP13"/>
  <c r="AW13"/>
  <c r="AP14"/>
  <c r="AX14"/>
  <c r="AV14"/>
  <c r="AW14"/>
  <c r="AW15"/>
  <c r="AV15"/>
  <c r="AP15"/>
  <c r="AX15"/>
  <c r="AT15"/>
  <c r="AR15"/>
  <c r="AP16"/>
  <c r="AX16"/>
  <c r="AW16"/>
  <c r="AV16"/>
  <c r="AR16"/>
  <c r="AT16"/>
  <c r="AT17"/>
  <c r="AR17"/>
  <c r="AW19"/>
  <c r="AP19"/>
  <c r="AV19"/>
  <c r="AX19"/>
  <c r="AR19"/>
  <c r="AT19"/>
  <c r="AP20"/>
  <c r="AW20"/>
  <c r="AV20"/>
  <c r="AX20"/>
  <c r="AW21"/>
  <c r="AX21"/>
  <c r="AP21"/>
  <c r="AV21"/>
  <c r="AT21"/>
  <c r="AR21"/>
  <c r="AV22"/>
  <c r="AP22"/>
  <c r="AX22"/>
  <c r="AW22"/>
  <c r="AT22"/>
  <c r="AR22"/>
  <c r="AR11"/>
  <c r="AT11"/>
  <c r="AT30"/>
  <c r="AR30"/>
  <c r="AR29"/>
  <c r="AT29"/>
  <c r="AV29"/>
  <c r="AP29"/>
  <c r="AX29"/>
  <c r="AW29"/>
  <c r="AV27"/>
  <c r="AX27"/>
  <c r="AP27"/>
  <c r="AW27"/>
  <c r="AW26"/>
  <c r="AP26"/>
  <c r="AV26"/>
  <c r="AX26"/>
  <c r="AT25"/>
  <c r="AR25"/>
  <c r="AT24"/>
  <c r="AR24"/>
  <c r="AX24"/>
  <c r="AW24"/>
  <c r="AP24"/>
  <c r="AV24"/>
  <c r="AW23"/>
  <c r="AX23"/>
  <c r="AP23"/>
  <c r="AV23"/>
  <c r="AR7"/>
  <c r="AT7"/>
  <c r="AX8"/>
  <c r="AP8"/>
  <c r="AV8"/>
  <c r="AW8"/>
  <c r="AT8"/>
  <c r="AR8"/>
  <c r="AW11"/>
  <c r="AX11"/>
  <c r="AP11"/>
  <c r="AV11"/>
  <c r="AT13"/>
  <c r="AR13"/>
  <c r="AT14"/>
  <c r="AR14"/>
  <c r="AV17"/>
  <c r="AX17"/>
  <c r="AP17"/>
  <c r="AW17"/>
  <c r="AW18"/>
  <c r="AX18"/>
  <c r="AV18"/>
  <c r="AP18"/>
  <c r="AR18"/>
  <c r="AT18"/>
  <c r="AR20"/>
  <c r="AT20"/>
  <c r="AR12"/>
  <c r="AT12"/>
  <c r="AV12"/>
  <c r="AX12"/>
  <c r="AP12"/>
  <c r="AW12"/>
  <c r="AP30"/>
  <c r="AV30"/>
  <c r="AX30"/>
  <c r="AW30"/>
  <c r="AR28"/>
  <c r="AT28"/>
  <c r="AW28"/>
  <c r="AV28"/>
  <c r="AP28"/>
  <c r="AX28"/>
  <c r="AR27"/>
  <c r="AT27"/>
  <c r="AR26"/>
  <c r="AT26"/>
  <c r="AV25"/>
  <c r="AP25"/>
  <c r="AW25"/>
  <c r="AX25"/>
  <c r="AT23"/>
  <c r="AR23"/>
  <c r="AV7"/>
  <c r="AP7"/>
  <c r="AW7"/>
  <c r="AX7"/>
  <c r="AS27"/>
  <c r="AU27"/>
  <c r="H11"/>
  <c r="H19"/>
  <c r="D17"/>
  <c r="D26"/>
  <c r="G12"/>
  <c r="D27"/>
  <c r="G28"/>
  <c r="G20"/>
  <c r="D28"/>
  <c r="G11"/>
  <c r="H10"/>
  <c r="H26"/>
  <c r="D20"/>
  <c r="D11"/>
  <c r="G17"/>
  <c r="D25"/>
  <c r="D29"/>
  <c r="G14"/>
  <c r="AQ13"/>
  <c r="H18"/>
  <c r="H9"/>
  <c r="H17"/>
  <c r="D18"/>
  <c r="D9"/>
  <c r="G26"/>
  <c r="G18"/>
  <c r="A16"/>
  <c r="A30"/>
  <c r="A45"/>
  <c r="A26"/>
  <c r="A40"/>
  <c r="A50"/>
  <c r="A8"/>
  <c r="A9"/>
  <c r="A11"/>
  <c r="B24"/>
  <c r="A24"/>
  <c r="A7"/>
  <c r="B7"/>
  <c r="A19"/>
  <c r="A20"/>
  <c r="B18"/>
  <c r="A18"/>
  <c r="B41"/>
  <c r="A41"/>
  <c r="B14"/>
  <c r="A14"/>
  <c r="B22"/>
  <c r="A22"/>
  <c r="B13"/>
  <c r="A13"/>
  <c r="B17"/>
  <c r="A17"/>
  <c r="B21"/>
  <c r="A21"/>
  <c r="B39"/>
  <c r="A39"/>
  <c r="B25"/>
  <c r="A25"/>
  <c r="B29"/>
  <c r="A29"/>
  <c r="B15"/>
  <c r="A15"/>
  <c r="B23"/>
  <c r="A23"/>
  <c r="B46"/>
  <c r="A46"/>
  <c r="B27"/>
  <c r="A27"/>
  <c r="B38"/>
  <c r="A38"/>
  <c r="AO30"/>
  <c r="AQ19"/>
  <c r="AO19"/>
  <c r="AO22"/>
  <c r="AQ22"/>
  <c r="AU8"/>
  <c r="AS8"/>
  <c r="D21"/>
  <c r="G30"/>
  <c r="D14"/>
  <c r="B10"/>
  <c r="A10"/>
  <c r="B12"/>
  <c r="A12"/>
  <c r="AU16"/>
  <c r="AS16"/>
  <c r="AO8"/>
  <c r="AQ10"/>
  <c r="AO10"/>
  <c r="AU13"/>
  <c r="AS13"/>
  <c r="AQ15"/>
  <c r="AO15"/>
  <c r="AS19"/>
  <c r="AU19"/>
  <c r="AS7"/>
  <c r="AU7"/>
  <c r="AU25"/>
  <c r="AS25"/>
  <c r="AS24"/>
  <c r="AU24"/>
  <c r="AO12"/>
  <c r="AQ12"/>
  <c r="W10"/>
  <c r="U9"/>
  <c r="V16"/>
  <c r="W15"/>
  <c r="V7"/>
  <c r="W8"/>
  <c r="W28"/>
  <c r="W31"/>
  <c r="V14"/>
  <c r="W16"/>
  <c r="U10"/>
  <c r="U24"/>
  <c r="U29"/>
  <c r="V29"/>
  <c r="U30"/>
  <c r="U21"/>
  <c r="U31"/>
  <c r="U23"/>
  <c r="W7"/>
  <c r="V8"/>
  <c r="U28"/>
  <c r="V22"/>
  <c r="W14"/>
  <c r="W9"/>
  <c r="U17"/>
  <c r="W29"/>
  <c r="V21"/>
  <c r="W30"/>
  <c r="V15"/>
  <c r="W21"/>
  <c r="U16"/>
  <c r="Z16"/>
  <c r="W23"/>
  <c r="V28"/>
  <c r="V24"/>
  <c r="U22"/>
  <c r="U15"/>
  <c r="V31"/>
  <c r="V30"/>
  <c r="V23"/>
  <c r="V9"/>
  <c r="U8"/>
  <c r="U14"/>
  <c r="W24"/>
  <c r="V10"/>
  <c r="W22"/>
  <c r="V17"/>
  <c r="W17"/>
  <c r="U7"/>
  <c r="AQ29"/>
  <c r="AO29"/>
  <c r="AS17"/>
  <c r="AU17"/>
  <c r="AO20"/>
  <c r="AQ20"/>
  <c r="AO28"/>
  <c r="AQ28"/>
  <c r="AS28"/>
  <c r="AU28"/>
  <c r="AS12"/>
  <c r="AU12"/>
  <c r="AO17"/>
  <c r="AQ17"/>
  <c r="AS14"/>
  <c r="AU14"/>
  <c r="AQ25"/>
  <c r="AO25"/>
  <c r="AQ11"/>
  <c r="AO11"/>
  <c r="AS11"/>
  <c r="AU11"/>
  <c r="AU30"/>
  <c r="AU26"/>
  <c r="AU20"/>
  <c r="AU18"/>
  <c r="AQ27"/>
  <c r="AQ26"/>
  <c r="AQ21"/>
  <c r="AQ18"/>
  <c r="AQ14"/>
  <c r="AQ9"/>
  <c r="Y14"/>
  <c r="AS20"/>
  <c r="AO27"/>
  <c r="AO26"/>
  <c r="AS18"/>
  <c r="AS30"/>
  <c r="AS26"/>
  <c r="AO21"/>
  <c r="AO18"/>
  <c r="AO14"/>
  <c r="AO9"/>
  <c r="X28"/>
  <c r="Z8"/>
  <c r="Z22"/>
  <c r="Y7"/>
  <c r="Z17"/>
  <c r="Z30"/>
  <c r="Z29"/>
  <c r="Z10"/>
  <c r="X21"/>
  <c r="Z28"/>
  <c r="Z31"/>
  <c r="Z7"/>
  <c r="Z14"/>
  <c r="Z15"/>
  <c r="Z23"/>
  <c r="Z21"/>
  <c r="Z24"/>
  <c r="Z9"/>
  <c r="Y10"/>
  <c r="X7"/>
  <c r="Y22"/>
  <c r="Y30"/>
  <c r="X17"/>
  <c r="Y16"/>
  <c r="X14"/>
  <c r="X31"/>
  <c r="Y15"/>
  <c r="Y21"/>
  <c r="Y31"/>
  <c r="Y8"/>
  <c r="Y28"/>
  <c r="X30"/>
  <c r="AA30"/>
  <c r="AC21"/>
  <c r="AC15"/>
  <c r="AC28"/>
  <c r="AC9"/>
  <c r="AC7"/>
  <c r="AC10"/>
  <c r="AC30"/>
  <c r="AC24"/>
  <c r="AC23"/>
  <c r="AC14"/>
  <c r="AC31"/>
  <c r="AC29"/>
  <c r="AC17"/>
  <c r="AC8"/>
  <c r="AC22"/>
  <c r="AC16"/>
  <c r="AA7"/>
  <c r="AA21"/>
  <c r="AA14"/>
  <c r="AA28"/>
  <c r="X22"/>
  <c r="X23"/>
  <c r="X10"/>
  <c r="AA10"/>
  <c r="X29"/>
  <c r="X24"/>
  <c r="X9"/>
  <c r="X15"/>
  <c r="AA15"/>
  <c r="X16"/>
  <c r="AA16"/>
  <c r="X8"/>
  <c r="Y24"/>
  <c r="Y17"/>
  <c r="AA17"/>
  <c r="Y23"/>
  <c r="AA23"/>
  <c r="Y9"/>
  <c r="Y29"/>
  <c r="AA29"/>
  <c r="Z18"/>
  <c r="Z32"/>
  <c r="Z25"/>
  <c r="Z11"/>
  <c r="AA8"/>
  <c r="AA31"/>
  <c r="X32"/>
  <c r="AC25"/>
  <c r="AC32"/>
  <c r="AC18"/>
  <c r="AA18"/>
  <c r="AA33"/>
  <c r="X18"/>
  <c r="AA9"/>
  <c r="AA12"/>
  <c r="AA22"/>
  <c r="X25"/>
  <c r="X11"/>
  <c r="AA19"/>
  <c r="AA24"/>
  <c r="AA32"/>
  <c r="AA11"/>
  <c r="AA26"/>
  <c r="AA25"/>
  <c r="AF28"/>
  <c r="AG29"/>
  <c r="AF14"/>
  <c r="AC11"/>
  <c r="AF7"/>
  <c r="AG9"/>
  <c r="AG7"/>
  <c r="AG10"/>
  <c r="AG8"/>
  <c r="AN7"/>
  <c r="AF21"/>
  <c r="AG24"/>
  <c r="AG28"/>
  <c r="AN13"/>
  <c r="AG30"/>
  <c r="AN29"/>
  <c r="AG31"/>
  <c r="AG17"/>
  <c r="AG14"/>
  <c r="AG16"/>
  <c r="AG15"/>
  <c r="AN9"/>
  <c r="AN30"/>
  <c r="AN14"/>
  <c r="BD14"/>
  <c r="AN21"/>
  <c r="BC21"/>
  <c r="AG21"/>
  <c r="AN27"/>
  <c r="BC27"/>
  <c r="AG23"/>
  <c r="AY14"/>
  <c r="AN22"/>
  <c r="BF22"/>
  <c r="AG22"/>
  <c r="AN11"/>
  <c r="AY11"/>
  <c r="BA14"/>
  <c r="BC14"/>
  <c r="BH14"/>
  <c r="AN24"/>
  <c r="BG24"/>
  <c r="BG14"/>
  <c r="AZ14"/>
  <c r="BF14"/>
  <c r="BB14"/>
  <c r="AN25"/>
  <c r="BH25"/>
  <c r="BG9"/>
  <c r="BF9"/>
  <c r="AZ9"/>
  <c r="BH9"/>
  <c r="BB9"/>
  <c r="BC9"/>
  <c r="BD9"/>
  <c r="BE9"/>
  <c r="BA9"/>
  <c r="AY9"/>
  <c r="BE7"/>
  <c r="AN18"/>
  <c r="AN26"/>
  <c r="AN17"/>
  <c r="AN10"/>
  <c r="BA29"/>
  <c r="BB29"/>
  <c r="AY29"/>
  <c r="BC29"/>
  <c r="BH29"/>
  <c r="AZ29"/>
  <c r="BD29"/>
  <c r="BG29"/>
  <c r="BF29"/>
  <c r="BE29"/>
  <c r="AZ13"/>
  <c r="BE13"/>
  <c r="AY13"/>
  <c r="BF13"/>
  <c r="BA13"/>
  <c r="BD13"/>
  <c r="BG13"/>
  <c r="BB13"/>
  <c r="BH13"/>
  <c r="BC13"/>
  <c r="BB21"/>
  <c r="BA21"/>
  <c r="BD30"/>
  <c r="BB30"/>
  <c r="BF30"/>
  <c r="BG30"/>
  <c r="AY30"/>
  <c r="AZ30"/>
  <c r="BH30"/>
  <c r="BA30"/>
  <c r="BE30"/>
  <c r="BC30"/>
  <c r="AN16"/>
  <c r="AN23"/>
  <c r="AN8"/>
  <c r="AN15"/>
  <c r="BE14"/>
  <c r="BH21"/>
  <c r="BD21"/>
  <c r="AY21"/>
  <c r="BG21"/>
  <c r="BF21"/>
  <c r="AZ21"/>
  <c r="BE21"/>
  <c r="AY7"/>
  <c r="BG11"/>
  <c r="BB11"/>
  <c r="BF11"/>
  <c r="AY25"/>
  <c r="BF27"/>
  <c r="AZ11"/>
  <c r="BE11"/>
  <c r="AN20"/>
  <c r="BE20"/>
  <c r="BD7"/>
  <c r="BF7"/>
  <c r="BC24"/>
  <c r="BG22"/>
  <c r="BC22"/>
  <c r="AZ27"/>
  <c r="BF25"/>
  <c r="BH7"/>
  <c r="BB7"/>
  <c r="BH24"/>
  <c r="BE22"/>
  <c r="AZ22"/>
  <c r="BH22"/>
  <c r="AY27"/>
  <c r="BA27"/>
  <c r="BG27"/>
  <c r="BG7"/>
  <c r="BA7"/>
  <c r="BC7"/>
  <c r="AZ7"/>
  <c r="AY24"/>
  <c r="BD24"/>
  <c r="AZ24"/>
  <c r="BB22"/>
  <c r="AY22"/>
  <c r="BD22"/>
  <c r="BA22"/>
  <c r="BD25"/>
  <c r="BC25"/>
  <c r="AZ25"/>
  <c r="BD27"/>
  <c r="BH27"/>
  <c r="BE27"/>
  <c r="BB27"/>
  <c r="AN12"/>
  <c r="AN28"/>
  <c r="BG28"/>
  <c r="BA24"/>
  <c r="BB24"/>
  <c r="BE24"/>
  <c r="BF24"/>
  <c r="BC11"/>
  <c r="BH11"/>
  <c r="BD11"/>
  <c r="BA11"/>
  <c r="BB25"/>
  <c r="BA25"/>
  <c r="BG25"/>
  <c r="BE25"/>
  <c r="AN19"/>
  <c r="BF17"/>
  <c r="AY17"/>
  <c r="BA17"/>
  <c r="BD17"/>
  <c r="AZ17"/>
  <c r="BG17"/>
  <c r="BC17"/>
  <c r="BE17"/>
  <c r="BB17"/>
  <c r="BH17"/>
  <c r="AZ18"/>
  <c r="BH18"/>
  <c r="BC18"/>
  <c r="BD18"/>
  <c r="AY18"/>
  <c r="BB18"/>
  <c r="BF18"/>
  <c r="BA18"/>
  <c r="BG18"/>
  <c r="BE18"/>
  <c r="BF10"/>
  <c r="BD10"/>
  <c r="BE10"/>
  <c r="BA10"/>
  <c r="BB10"/>
  <c r="BG10"/>
  <c r="BC10"/>
  <c r="AY10"/>
  <c r="AZ10"/>
  <c r="BH10"/>
  <c r="BA26"/>
  <c r="BC26"/>
  <c r="BE26"/>
  <c r="BF26"/>
  <c r="AZ26"/>
  <c r="BD26"/>
  <c r="AY26"/>
  <c r="BB26"/>
  <c r="BG26"/>
  <c r="BH26"/>
  <c r="BE15"/>
  <c r="AZ15"/>
  <c r="BA15"/>
  <c r="BC15"/>
  <c r="BH15"/>
  <c r="AY15"/>
  <c r="BD15"/>
  <c r="BG15"/>
  <c r="BF15"/>
  <c r="BB15"/>
  <c r="BF23"/>
  <c r="BA23"/>
  <c r="BG23"/>
  <c r="AZ23"/>
  <c r="AY23"/>
  <c r="BB23"/>
  <c r="BE23"/>
  <c r="BD23"/>
  <c r="BH23"/>
  <c r="BC23"/>
  <c r="BF8"/>
  <c r="BH8"/>
  <c r="BA8"/>
  <c r="BG8"/>
  <c r="BC8"/>
  <c r="BD8"/>
  <c r="BB8"/>
  <c r="AZ8"/>
  <c r="BE8"/>
  <c r="AY8"/>
  <c r="BC16"/>
  <c r="AZ16"/>
  <c r="AY16"/>
  <c r="BD16"/>
  <c r="BE16"/>
  <c r="BB16"/>
  <c r="BA16"/>
  <c r="BG16"/>
  <c r="BH16"/>
  <c r="BF16"/>
  <c r="BC20"/>
  <c r="BH20"/>
  <c r="BD20"/>
  <c r="AY20"/>
  <c r="AZ20"/>
  <c r="BF20"/>
  <c r="AZ28"/>
  <c r="BA28"/>
  <c r="BE28"/>
  <c r="BG20"/>
  <c r="BA20"/>
  <c r="BB20"/>
  <c r="BH28"/>
  <c r="AY28"/>
  <c r="BF28"/>
  <c r="BD28"/>
  <c r="BC28"/>
  <c r="BB28"/>
  <c r="BB12"/>
  <c r="AY12"/>
  <c r="BF12"/>
  <c r="BE12"/>
  <c r="BC12"/>
  <c r="BD12"/>
  <c r="BA12"/>
  <c r="BH12"/>
  <c r="BG12"/>
  <c r="AZ12"/>
  <c r="BF19"/>
  <c r="BH19"/>
  <c r="BA19"/>
  <c r="BB19"/>
  <c r="BC19"/>
  <c r="BD19"/>
  <c r="BE19"/>
  <c r="AZ19"/>
  <c r="AY19"/>
  <c r="BG19"/>
  <c r="AI23"/>
  <c r="AJ24"/>
  <c r="AJ28"/>
  <c r="AJ7"/>
  <c r="AH22"/>
  <c r="AI15"/>
  <c r="AJ30"/>
  <c r="AH9"/>
  <c r="AJ31"/>
  <c r="AI24"/>
  <c r="AH21"/>
  <c r="AJ17"/>
  <c r="AI30"/>
  <c r="AH7"/>
  <c r="AJ29"/>
  <c r="AI8"/>
  <c r="AI29"/>
  <c r="AH17"/>
  <c r="AJ16"/>
  <c r="AJ23"/>
  <c r="AI21"/>
  <c r="AI17"/>
  <c r="AK17"/>
  <c r="AL17"/>
  <c r="AB17"/>
  <c r="AH14"/>
  <c r="AH28"/>
  <c r="AH30"/>
  <c r="AH31"/>
  <c r="AJ9"/>
  <c r="AJ14"/>
  <c r="AJ21"/>
  <c r="AJ8"/>
  <c r="AI14"/>
  <c r="AI31"/>
  <c r="AI28"/>
  <c r="AI9"/>
  <c r="AH16"/>
  <c r="AH29"/>
  <c r="AK29"/>
  <c r="AH24"/>
  <c r="AH15"/>
  <c r="AJ15"/>
  <c r="AJ10"/>
  <c r="AJ22"/>
  <c r="AI10"/>
  <c r="AI16"/>
  <c r="AI7"/>
  <c r="AI22"/>
  <c r="AH10"/>
  <c r="AK10"/>
  <c r="AH8"/>
  <c r="AH23"/>
  <c r="AK24"/>
  <c r="AK9"/>
  <c r="AK30"/>
  <c r="AL30"/>
  <c r="AB30"/>
  <c r="AK7"/>
  <c r="AK23"/>
  <c r="AL23"/>
  <c r="AB23"/>
  <c r="AK31"/>
  <c r="AL31"/>
  <c r="AB31"/>
  <c r="AK14"/>
  <c r="AK16"/>
  <c r="AL16"/>
  <c r="AB16"/>
  <c r="AK8"/>
  <c r="AK22"/>
  <c r="AK28"/>
  <c r="AK21"/>
  <c r="AK15"/>
  <c r="AK25"/>
  <c r="AL22"/>
  <c r="AB22"/>
  <c r="AK11"/>
  <c r="AL7"/>
  <c r="AB7"/>
  <c r="AK32"/>
  <c r="AL28"/>
  <c r="AB28"/>
  <c r="AK18"/>
  <c r="AL15"/>
  <c r="AB15"/>
  <c r="AL24"/>
  <c r="AB24"/>
  <c r="AL10"/>
  <c r="AB10"/>
  <c r="AL29"/>
  <c r="AB29"/>
  <c r="AL21"/>
  <c r="AB21"/>
  <c r="AL9"/>
  <c r="AL8"/>
  <c r="AB8"/>
  <c r="AB9"/>
  <c r="AL14"/>
  <c r="S31"/>
  <c r="S28"/>
  <c r="AE28"/>
  <c r="D41"/>
  <c r="S29"/>
  <c r="S24"/>
  <c r="S22"/>
  <c r="S30"/>
  <c r="AE21"/>
  <c r="D40"/>
  <c r="AE29"/>
  <c r="G40"/>
  <c r="K28"/>
  <c r="S7"/>
  <c r="M28"/>
  <c r="L29"/>
  <c r="M29"/>
  <c r="S8"/>
  <c r="P30"/>
  <c r="N29"/>
  <c r="K30"/>
  <c r="S10"/>
  <c r="S9"/>
  <c r="AB14"/>
  <c r="S14"/>
  <c r="P29"/>
  <c r="O29"/>
  <c r="K29"/>
  <c r="M30"/>
  <c r="N30"/>
  <c r="L30"/>
  <c r="O30"/>
  <c r="N28"/>
  <c r="N31"/>
  <c r="L31"/>
  <c r="P28"/>
  <c r="S23"/>
  <c r="S21"/>
  <c r="L28"/>
  <c r="K31"/>
  <c r="M31"/>
  <c r="P31"/>
  <c r="O28"/>
  <c r="O31"/>
  <c r="P8"/>
  <c r="M7"/>
  <c r="M8"/>
  <c r="AE7"/>
  <c r="D38"/>
  <c r="P9"/>
  <c r="O8"/>
  <c r="L8"/>
  <c r="AE8"/>
  <c r="G39"/>
  <c r="N8"/>
  <c r="K9"/>
  <c r="O9"/>
  <c r="K8"/>
  <c r="N9"/>
  <c r="P21"/>
  <c r="P10"/>
  <c r="N7"/>
  <c r="M10"/>
  <c r="L21"/>
  <c r="K7"/>
  <c r="O10"/>
  <c r="L10"/>
  <c r="P7"/>
  <c r="K10"/>
  <c r="N10"/>
  <c r="L7"/>
  <c r="M9"/>
  <c r="O7"/>
  <c r="L9"/>
  <c r="N23"/>
  <c r="S16"/>
  <c r="S15"/>
  <c r="O16"/>
  <c r="L23"/>
  <c r="S17"/>
  <c r="M23"/>
  <c r="K24"/>
  <c r="O21"/>
  <c r="AE22"/>
  <c r="G41"/>
  <c r="M22"/>
  <c r="P23"/>
  <c r="L22"/>
  <c r="K23"/>
  <c r="O22"/>
  <c r="O23"/>
  <c r="L24"/>
  <c r="K22"/>
  <c r="N22"/>
  <c r="P24"/>
  <c r="N21"/>
  <c r="P22"/>
  <c r="N24"/>
  <c r="M21"/>
  <c r="M24"/>
  <c r="K21"/>
  <c r="O24"/>
  <c r="O17"/>
  <c r="P17"/>
  <c r="K17"/>
  <c r="M17"/>
  <c r="L17"/>
  <c r="N17"/>
  <c r="N16"/>
  <c r="K15"/>
  <c r="P16"/>
  <c r="M16"/>
  <c r="K16"/>
  <c r="L16"/>
  <c r="O14"/>
  <c r="L14"/>
  <c r="AE15"/>
  <c r="G38"/>
  <c r="O15"/>
  <c r="M15"/>
  <c r="L15"/>
  <c r="P14"/>
  <c r="P15"/>
  <c r="AE14"/>
  <c r="D39"/>
  <c r="N14"/>
  <c r="M14"/>
  <c r="K14"/>
  <c r="N15"/>
</calcChain>
</file>

<file path=xl/sharedStrings.xml><?xml version="1.0" encoding="utf-8"?>
<sst xmlns="http://schemas.openxmlformats.org/spreadsheetml/2006/main" count="2315" uniqueCount="1746">
  <si>
    <t>Група А Победник</t>
  </si>
  <si>
    <t>Група А Друго место</t>
  </si>
  <si>
    <t>Група Б Победник</t>
  </si>
  <si>
    <t>Група Б Друго место</t>
  </si>
  <si>
    <t>Група Ц Победник</t>
  </si>
  <si>
    <t>Група Ц Друго место</t>
  </si>
  <si>
    <t>Група Д Победник</t>
  </si>
  <si>
    <t>Група Д Друго место</t>
  </si>
  <si>
    <t>Чевртфинале 1 Победник</t>
  </si>
  <si>
    <t>Чевртфинале 2 Победник</t>
  </si>
  <si>
    <t>Чевртфинале 3 Победник</t>
  </si>
  <si>
    <t>Чевртфинале 4 Победник</t>
  </si>
  <si>
    <t>Полуфинале 1 Победник</t>
  </si>
  <si>
    <t>Полуфинале 2 Победник</t>
  </si>
  <si>
    <t>Полуфинале 1 Поражени</t>
  </si>
  <si>
    <t>Полуфинале 2 Поражени</t>
  </si>
  <si>
    <t>Јан</t>
  </si>
  <si>
    <t>Мар</t>
  </si>
  <si>
    <t>Апр</t>
  </si>
  <si>
    <t>Мај</t>
  </si>
  <si>
    <t>Јун</t>
  </si>
  <si>
    <t>Јул</t>
  </si>
  <si>
    <t>Авг</t>
  </si>
  <si>
    <t>Сеп</t>
  </si>
  <si>
    <t>Окт</t>
  </si>
  <si>
    <t>Посетите насловну страну</t>
  </si>
  <si>
    <t>Serbian</t>
  </si>
  <si>
    <t>Albanian</t>
  </si>
  <si>
    <t>Republika e Çekisë</t>
  </si>
  <si>
    <t>Franca</t>
  </si>
  <si>
    <t>Gjermania</t>
  </si>
  <si>
    <t>Kroacia</t>
  </si>
  <si>
    <t>Greqia</t>
  </si>
  <si>
    <t>SH - P</t>
  </si>
  <si>
    <t>Grupi</t>
  </si>
  <si>
    <t>Ruandi i Parë</t>
  </si>
  <si>
    <t>Ruand i Dytë</t>
  </si>
  <si>
    <t>E Katërta e Finales</t>
  </si>
  <si>
    <t>Gjysëm Finalja</t>
  </si>
  <si>
    <t>Finalja</t>
  </si>
  <si>
    <t>Fituesi i Grupit A</t>
  </si>
  <si>
    <t>Vendi i Dytë i Grupit A</t>
  </si>
  <si>
    <t>Fituesi i Grupit B</t>
  </si>
  <si>
    <t>Vendi i Dytë i Grupit B</t>
  </si>
  <si>
    <t>Fituesi i Grupit C</t>
  </si>
  <si>
    <t>Vendi i Dytë i Grupit C</t>
  </si>
  <si>
    <t>Fituesi i Grupit D</t>
  </si>
  <si>
    <t>Vendi i Dytë i Grupit D</t>
  </si>
  <si>
    <t>E Katërta e Finales 1 Fituesi</t>
  </si>
  <si>
    <t>E Katërta e Finales 2 Fituesi</t>
  </si>
  <si>
    <t>E Katërta e Finales 3 Fituesi</t>
  </si>
  <si>
    <t>E Katërta e Finales 4 Fituesi</t>
  </si>
  <si>
    <t>Gjysëm Finalja 1 Fituesi</t>
  </si>
  <si>
    <t>Gjysëm Finalja 2 Fituesi</t>
  </si>
  <si>
    <t>Gjysëm Finalja 1 Humbësi</t>
  </si>
  <si>
    <t>Gjysëm Finalja 2 Humbësi</t>
  </si>
  <si>
    <t>Mars</t>
  </si>
  <si>
    <t>Vizitoni Faqen</t>
  </si>
  <si>
    <t>Uzbek</t>
  </si>
  <si>
    <t>Чехия Республикаси</t>
  </si>
  <si>
    <t>Д</t>
  </si>
  <si>
    <t>Т-Н</t>
  </si>
  <si>
    <t>О</t>
  </si>
  <si>
    <t>Биринчи давра</t>
  </si>
  <si>
    <t>Иккинчи давра</t>
  </si>
  <si>
    <t>Чорак финал</t>
  </si>
  <si>
    <t>Ярим финал</t>
  </si>
  <si>
    <t>А гурух голиби</t>
  </si>
  <si>
    <t>А гурух 2-урин</t>
  </si>
  <si>
    <t>В гурух голиби</t>
  </si>
  <si>
    <t>В гурух 2-урин</t>
  </si>
  <si>
    <t>С гурух голиби</t>
  </si>
  <si>
    <t>С гурух 2-урин</t>
  </si>
  <si>
    <t>D гурух голиби</t>
  </si>
  <si>
    <t>D гурух 2-урин</t>
  </si>
  <si>
    <t>1-чорак финал голиби</t>
  </si>
  <si>
    <t>2-чорак финал голиби</t>
  </si>
  <si>
    <t>3-чорак финал голиби</t>
  </si>
  <si>
    <t>4-чорак финал голиби</t>
  </si>
  <si>
    <t>1-ярим финал голиби</t>
  </si>
  <si>
    <t>2-ярим финал голиби</t>
  </si>
  <si>
    <t>1-ярим финал маглуби</t>
  </si>
  <si>
    <t>2-ярим финал маглуби</t>
  </si>
  <si>
    <t>Янв</t>
  </si>
  <si>
    <t>Фев</t>
  </si>
  <si>
    <t>Июн</t>
  </si>
  <si>
    <t>Июл</t>
  </si>
  <si>
    <t>Сен</t>
  </si>
  <si>
    <t>Ноя</t>
  </si>
  <si>
    <t>Дек</t>
  </si>
  <si>
    <t>Bosnian</t>
  </si>
  <si>
    <t>Holandija</t>
  </si>
  <si>
    <t>Z - P</t>
  </si>
  <si>
    <t>Četvrtfinale</t>
  </si>
  <si>
    <t>Polufinale</t>
  </si>
  <si>
    <t>Pobjednik grupe A</t>
  </si>
  <si>
    <t>Drugoplasirani grupe A</t>
  </si>
  <si>
    <t>Pobjednik grupe B</t>
  </si>
  <si>
    <t>Drugoplasirani grupe B</t>
  </si>
  <si>
    <t>Pobjednik grupe C</t>
  </si>
  <si>
    <t>Drugoplasirani grupe C</t>
  </si>
  <si>
    <t>Pobjednik grupe D</t>
  </si>
  <si>
    <t>Drugoplasirani grupe D</t>
  </si>
  <si>
    <t>Poraženi iz prvog polufinala</t>
  </si>
  <si>
    <t>Poraženi iz drugog polufinala</t>
  </si>
  <si>
    <t>Posjetite početnu stranicu</t>
  </si>
  <si>
    <t>Portuqaliya</t>
  </si>
  <si>
    <t>Çexiya Respublikası</t>
  </si>
  <si>
    <t>İtaliya</t>
  </si>
  <si>
    <t>Hollandiya</t>
  </si>
  <si>
    <t>Almaniya</t>
  </si>
  <si>
    <t>Polşa</t>
  </si>
  <si>
    <t>Xorvatiya</t>
  </si>
  <si>
    <t>Yunanıstan</t>
  </si>
  <si>
    <t>İspaniya</t>
  </si>
  <si>
    <t>Rusiya</t>
  </si>
  <si>
    <t>Q</t>
  </si>
  <si>
    <t>V - B</t>
  </si>
  <si>
    <t>Xal</t>
  </si>
  <si>
    <t>Qrup</t>
  </si>
  <si>
    <t>Birinci Mərhələ</t>
  </si>
  <si>
    <t>İkinci Mərhələ</t>
  </si>
  <si>
    <t>Dörddə Bir Final</t>
  </si>
  <si>
    <t>Yarım Final</t>
  </si>
  <si>
    <t>Grup A Qalib</t>
  </si>
  <si>
    <t>Grup A İkinci Yer</t>
  </si>
  <si>
    <t>Grup B Qalib</t>
  </si>
  <si>
    <t>Grup B İkinci Yer</t>
  </si>
  <si>
    <t>Grup C Qalib</t>
  </si>
  <si>
    <t>Grup C İkinci Yer</t>
  </si>
  <si>
    <t>Grup D Qalib</t>
  </si>
  <si>
    <t>Grup D İkinci Yer</t>
  </si>
  <si>
    <t>Dörddə Bir Final 1 Qalib</t>
  </si>
  <si>
    <t>Dörddə Bir Final 2 Qalib</t>
  </si>
  <si>
    <t>Dörddə Bir Final 3 Qalib</t>
  </si>
  <si>
    <t>Dörddə Bir Final 4 Qalib</t>
  </si>
  <si>
    <t>Yarım Final 1 Qalib</t>
  </si>
  <si>
    <t>Yarım Final 2 Qalib</t>
  </si>
  <si>
    <t>Yarım Final 1 Uduzan</t>
  </si>
  <si>
    <t>Yarım Final 2 Uduzan</t>
  </si>
  <si>
    <t>Yan</t>
  </si>
  <si>
    <t>Fev</t>
  </si>
  <si>
    <t>İyn</t>
  </si>
  <si>
    <t>İyl</t>
  </si>
  <si>
    <t>Sen</t>
  </si>
  <si>
    <t>Noy</t>
  </si>
  <si>
    <t>Dek</t>
  </si>
  <si>
    <t>Ev səhifəsini ziyarət edin</t>
  </si>
  <si>
    <t>Azerbaijan</t>
  </si>
  <si>
    <t>Swedish</t>
  </si>
  <si>
    <t>Tjeckien</t>
  </si>
  <si>
    <t>Frankrike</t>
  </si>
  <si>
    <t>Nederländerna</t>
  </si>
  <si>
    <t>Grekland</t>
  </si>
  <si>
    <t>Ryssland</t>
  </si>
  <si>
    <t>O</t>
  </si>
  <si>
    <t>Målsk</t>
  </si>
  <si>
    <t>Första omg</t>
  </si>
  <si>
    <t>Andra omg</t>
  </si>
  <si>
    <t>Kvartsfinaler</t>
  </si>
  <si>
    <t>Vinnare grupp A</t>
  </si>
  <si>
    <t>Tvåa grupp A</t>
  </si>
  <si>
    <t>Vinnare grupp B</t>
  </si>
  <si>
    <t>Tvåa grupp B</t>
  </si>
  <si>
    <t>Vinnare grupp C</t>
  </si>
  <si>
    <t>Чех Республикасы</t>
  </si>
  <si>
    <t>Нидерландтар</t>
  </si>
  <si>
    <t>Алмания</t>
  </si>
  <si>
    <t>Грекия</t>
  </si>
  <si>
    <t>Ресей</t>
  </si>
  <si>
    <t>Ұ</t>
  </si>
  <si>
    <t>С - Ө</t>
  </si>
  <si>
    <t>Топ</t>
  </si>
  <si>
    <t>Бірінші айналым</t>
  </si>
  <si>
    <t>Екінші айналым</t>
  </si>
  <si>
    <t>Ширек финалдар</t>
  </si>
  <si>
    <t>Жартылай финалдар</t>
  </si>
  <si>
    <t>А тобының жеңімпазы</t>
  </si>
  <si>
    <t>А тобының екінші орын иегері</t>
  </si>
  <si>
    <t>B тобының жеңімпазы</t>
  </si>
  <si>
    <t>B тобының екінші орын иегері</t>
  </si>
  <si>
    <t>C тобының жеңімпазы</t>
  </si>
  <si>
    <t>С тобының екінші орын иегері</t>
  </si>
  <si>
    <t>D тобының жеңімпазы</t>
  </si>
  <si>
    <t>D тобының екінші орын иегері</t>
  </si>
  <si>
    <t>1-ші ширек финал жеңімпазы</t>
  </si>
  <si>
    <t>2-ші ширек финал жеңімпазы</t>
  </si>
  <si>
    <t>3-ші ширек финал жеңімпазы</t>
  </si>
  <si>
    <t>4-ші ширек финал жеңімпазы</t>
  </si>
  <si>
    <t>1-ші жартылай финал жеңімпазы</t>
  </si>
  <si>
    <t>2-ші жартылай финал жеңімпазы</t>
  </si>
  <si>
    <t>1-ші жартылай финалда ұтылған құрама</t>
  </si>
  <si>
    <t>2-ші жартылай финалда ұтылған құрама</t>
  </si>
  <si>
    <t>Қаң</t>
  </si>
  <si>
    <t>Ақп</t>
  </si>
  <si>
    <t>Нау</t>
  </si>
  <si>
    <t>Сәу</t>
  </si>
  <si>
    <t>Мам</t>
  </si>
  <si>
    <t>Мау</t>
  </si>
  <si>
    <t>Шіл</t>
  </si>
  <si>
    <t>Там</t>
  </si>
  <si>
    <t>Қыр</t>
  </si>
  <si>
    <t>Қаз</t>
  </si>
  <si>
    <t>Қар</t>
  </si>
  <si>
    <t>Жел</t>
  </si>
  <si>
    <t>Сайтымызға хош келіңіз</t>
  </si>
  <si>
    <t>Kazakh</t>
  </si>
  <si>
    <t>Tvåa grupp C</t>
  </si>
  <si>
    <t>Vinnare grupp D</t>
  </si>
  <si>
    <t>Tvåa grupp D</t>
  </si>
  <si>
    <t>Segrare kvartsfinal 1</t>
  </si>
  <si>
    <t>Segrare kvartsfinal 2</t>
  </si>
  <si>
    <t>Segrare kvartsfinal 3</t>
  </si>
  <si>
    <t>Segrare kvartsfinal 4</t>
  </si>
  <si>
    <t>Segrare semifinal 1</t>
  </si>
  <si>
    <t>Segrare semifinal 2</t>
  </si>
  <si>
    <t>Förlorare semifinal 1</t>
  </si>
  <si>
    <t>Förlorare semifinal 2</t>
  </si>
  <si>
    <t>Besök hemsidan</t>
  </si>
  <si>
    <t>Persian</t>
  </si>
  <si>
    <t>فرانسه</t>
  </si>
  <si>
    <t>ایتالیا</t>
  </si>
  <si>
    <t>هلند</t>
  </si>
  <si>
    <t>آلمان</t>
  </si>
  <si>
    <t>لهستان</t>
  </si>
  <si>
    <t>کرواسی</t>
  </si>
  <si>
    <t>یونان</t>
  </si>
  <si>
    <t>اسپانیا</t>
  </si>
  <si>
    <t>سوئد</t>
  </si>
  <si>
    <t>روسیه</t>
  </si>
  <si>
    <t>برد</t>
  </si>
  <si>
    <t>باخت</t>
  </si>
  <si>
    <t>امتیاز</t>
  </si>
  <si>
    <t>گروه</t>
  </si>
  <si>
    <t>دور اول</t>
  </si>
  <si>
    <t>دور دوم</t>
  </si>
  <si>
    <t>فینال</t>
  </si>
  <si>
    <t>برنده گروه A</t>
  </si>
  <si>
    <t>برنده گروه B</t>
  </si>
  <si>
    <t>ژوئن</t>
  </si>
  <si>
    <t>نوامبر</t>
  </si>
  <si>
    <t>دسامبر</t>
  </si>
  <si>
    <t>چک</t>
  </si>
  <si>
    <t>تساوي</t>
  </si>
  <si>
    <t>يك چهارم نهايي</t>
  </si>
  <si>
    <t>نيمه نهايي</t>
  </si>
  <si>
    <t>تيم دوم گروه A</t>
  </si>
  <si>
    <t>تيم دوم گروه B</t>
  </si>
  <si>
    <t>برنده گروه C</t>
  </si>
  <si>
    <t>تيم دوم گروه C</t>
  </si>
  <si>
    <t>برنده گروه D</t>
  </si>
  <si>
    <t>تيم دوم گروه D</t>
  </si>
  <si>
    <t>برنده ديدار نخست يك چهارم نهايي</t>
  </si>
  <si>
    <t>برنده ديدار دوم يك چهارم نهايي</t>
  </si>
  <si>
    <t>برنده ديدار سوم يك چهارم نهايي</t>
  </si>
  <si>
    <t>برنده ديدار چهارم يك چهارم نهايي</t>
  </si>
  <si>
    <t>برنده ديدار نخست نيمه نهايي</t>
  </si>
  <si>
    <t>برنده ديدار دوم نيمه نهايي</t>
  </si>
  <si>
    <t>بازنده ديدار نخست نيمه نهايي</t>
  </si>
  <si>
    <t>بازنده ديدار دوم نيمه نهايي</t>
  </si>
  <si>
    <t>سپتامبر</t>
  </si>
  <si>
    <t>بازدید از سایت</t>
  </si>
  <si>
    <t>خورده - زده</t>
  </si>
  <si>
    <t>Summer Time</t>
  </si>
  <si>
    <t>Yes</t>
  </si>
  <si>
    <t>No</t>
  </si>
  <si>
    <t>Czech</t>
  </si>
  <si>
    <t>Portugalsko</t>
  </si>
  <si>
    <t>Česká republika</t>
  </si>
  <si>
    <t>Francie</t>
  </si>
  <si>
    <t>Itálie</t>
  </si>
  <si>
    <t>Nizozemí</t>
  </si>
  <si>
    <t>Německo</t>
  </si>
  <si>
    <t>Polsko</t>
  </si>
  <si>
    <t>Chorvatsko</t>
  </si>
  <si>
    <t>Řecko</t>
  </si>
  <si>
    <t>Španělsko</t>
  </si>
  <si>
    <t>Švédsko</t>
  </si>
  <si>
    <t>Rusko</t>
  </si>
  <si>
    <t>V - O</t>
  </si>
  <si>
    <t>Body</t>
  </si>
  <si>
    <t>První kolo</t>
  </si>
  <si>
    <t>Druhé kolo</t>
  </si>
  <si>
    <t>Čtvrtfinále</t>
  </si>
  <si>
    <t>Semifinále</t>
  </si>
  <si>
    <t>Finále</t>
  </si>
  <si>
    <t>Vítěz skupiny A</t>
  </si>
  <si>
    <t>Postupující ze skupiny A</t>
  </si>
  <si>
    <t>Vítěz skupiny B</t>
  </si>
  <si>
    <t>Postupující ze skupiny B</t>
  </si>
  <si>
    <t>Vítěz skupiny C</t>
  </si>
  <si>
    <t>Postupující ze skupiny C</t>
  </si>
  <si>
    <t>Vítěz skupiny D</t>
  </si>
  <si>
    <t>Postupující ze skupiny D</t>
  </si>
  <si>
    <t>Vítěz 1.čtvrtfinále</t>
  </si>
  <si>
    <t>Vítěz 2.čtvrtfinále</t>
  </si>
  <si>
    <t>Vítěz 3.čtvrtfinále</t>
  </si>
  <si>
    <t>Vítěz 4.čtvrtfinále</t>
  </si>
  <si>
    <t>Vítěz 1.semifinále</t>
  </si>
  <si>
    <t>Vítěz 2.semifinále</t>
  </si>
  <si>
    <t>Poražený 1.semifinále</t>
  </si>
  <si>
    <t>Poražený 2.semifinále</t>
  </si>
  <si>
    <t>Čer</t>
  </si>
  <si>
    <t>Domovská stránka</t>
  </si>
  <si>
    <t>Ukrainian</t>
  </si>
  <si>
    <t>Португалія</t>
  </si>
  <si>
    <t>Norwegian</t>
  </si>
  <si>
    <t>Tsjekkia</t>
  </si>
  <si>
    <t>Hellas</t>
  </si>
  <si>
    <t>Første runde</t>
  </si>
  <si>
    <t>Andre runde</t>
  </si>
  <si>
    <t>Bronsefinale</t>
  </si>
  <si>
    <t>Gruppevinner A</t>
  </si>
  <si>
    <t>Gruppetoer A</t>
  </si>
  <si>
    <t>Gruppevinner B</t>
  </si>
  <si>
    <t>Gruppetoer B</t>
  </si>
  <si>
    <t>Gruppevinner C</t>
  </si>
  <si>
    <t>Gruppetoer C</t>
  </si>
  <si>
    <t>Gruppevinner D</t>
  </si>
  <si>
    <t>Gruppetoer D</t>
  </si>
  <si>
    <t>Kvartfinalevinner 1</t>
  </si>
  <si>
    <t>Kvartfinalevinner 2</t>
  </si>
  <si>
    <t>Kvartfinalevinner 3</t>
  </si>
  <si>
    <t>Kvartfinalevinner 4</t>
  </si>
  <si>
    <t>Semifinalevinner 1</t>
  </si>
  <si>
    <t>Semifinalevinner 2</t>
  </si>
  <si>
    <t>Semifinaletaper 1</t>
  </si>
  <si>
    <t>Semifinaletaper 2</t>
  </si>
  <si>
    <t>Besøk hjemmesiden</t>
  </si>
  <si>
    <t>Macedonian</t>
  </si>
  <si>
    <t>Франција</t>
  </si>
  <si>
    <t>Германија</t>
  </si>
  <si>
    <t>Полска</t>
  </si>
  <si>
    <t>Грција</t>
  </si>
  <si>
    <t>Прво коло</t>
  </si>
  <si>
    <t>Второ коло</t>
  </si>
  <si>
    <t>Група А второ место</t>
  </si>
  <si>
    <t>Група В Победник</t>
  </si>
  <si>
    <t>Група В второ место</t>
  </si>
  <si>
    <t>Група С Победник</t>
  </si>
  <si>
    <t>Група С второ место</t>
  </si>
  <si>
    <t>Група D Победник</t>
  </si>
  <si>
    <t>Група D второ место</t>
  </si>
  <si>
    <t>Четвртфинале 1 Победник</t>
  </si>
  <si>
    <t>Четвртфинале 2 Победник</t>
  </si>
  <si>
    <t>Четвртфинале 3 Победник</t>
  </si>
  <si>
    <t>Четвртфинале 4 Победник</t>
  </si>
  <si>
    <t>Полуфинале 1 Поразен</t>
  </si>
  <si>
    <t>Полуфинале 2 Поразен</t>
  </si>
  <si>
    <t>Ное</t>
  </si>
  <si>
    <t>Чехія</t>
  </si>
  <si>
    <t>Франція</t>
  </si>
  <si>
    <t>Італія</t>
  </si>
  <si>
    <t>Німеччина</t>
  </si>
  <si>
    <t>Польща</t>
  </si>
  <si>
    <t>Хорватія</t>
  </si>
  <si>
    <t>Греція</t>
  </si>
  <si>
    <t>Іспанія</t>
  </si>
  <si>
    <t>Швеція</t>
  </si>
  <si>
    <t>Росія</t>
  </si>
  <si>
    <t>МЗ-МП</t>
  </si>
  <si>
    <t>Попередній раунд</t>
  </si>
  <si>
    <t>Наступний раунд</t>
  </si>
  <si>
    <t>Чвертьфінал</t>
  </si>
  <si>
    <t>Півфінал</t>
  </si>
  <si>
    <t>Фінал</t>
  </si>
  <si>
    <t>Переможець Групи A</t>
  </si>
  <si>
    <t>Друге місце Групи A</t>
  </si>
  <si>
    <t>Переможець Групи B</t>
  </si>
  <si>
    <t>Друге місце Групи B</t>
  </si>
  <si>
    <t>Переможець Групи C</t>
  </si>
  <si>
    <t>Друге місце Групи C</t>
  </si>
  <si>
    <t>Переможець Групи D</t>
  </si>
  <si>
    <t>Друге місце Групи D</t>
  </si>
  <si>
    <t>Переможець чвертьфіналу 1</t>
  </si>
  <si>
    <t>Переможець чвертьфіналу 2</t>
  </si>
  <si>
    <t>Переможець чвертьфіналу 3</t>
  </si>
  <si>
    <t>Переможець чвертьфіналу 4</t>
  </si>
  <si>
    <t>Переможець півфіналу 1</t>
  </si>
  <si>
    <t>Переможець півфіналу 2</t>
  </si>
  <si>
    <t>Переможений півфіналу 1</t>
  </si>
  <si>
    <t>Переможений півфіналу 2</t>
  </si>
  <si>
    <t>Січ</t>
  </si>
  <si>
    <t>Лют</t>
  </si>
  <si>
    <t>Бер</t>
  </si>
  <si>
    <t>Лип</t>
  </si>
  <si>
    <t>Вер</t>
  </si>
  <si>
    <t>Відвідайте домашню сторінку</t>
  </si>
  <si>
    <t>Ж</t>
  </si>
  <si>
    <t>Т</t>
  </si>
  <si>
    <t>Georgian</t>
  </si>
  <si>
    <t>პორტუგალია</t>
  </si>
  <si>
    <t>ჩეხეთი</t>
  </si>
  <si>
    <t>საფრანგეთი</t>
  </si>
  <si>
    <t>იტალია</t>
  </si>
  <si>
    <t>ჰოლანდია</t>
  </si>
  <si>
    <t>გერმანია</t>
  </si>
  <si>
    <t>პოლონეთი</t>
  </si>
  <si>
    <t>ხორვატია</t>
  </si>
  <si>
    <t>საბერძნეთი</t>
  </si>
  <si>
    <t>ესპანეთი</t>
  </si>
  <si>
    <t>შვედეთი</t>
  </si>
  <si>
    <t>რუსეთი</t>
  </si>
  <si>
    <t xml:space="preserve">ფ </t>
  </si>
  <si>
    <t>გ-მ</t>
  </si>
  <si>
    <t>ქულა</t>
  </si>
  <si>
    <t>ჯგუფი</t>
  </si>
  <si>
    <t>პირველი წრე</t>
  </si>
  <si>
    <t>მეორე წრე</t>
  </si>
  <si>
    <t>მეოთხედფინალი</t>
  </si>
  <si>
    <t>ნახევარფინალი</t>
  </si>
  <si>
    <t>ფინალი</t>
  </si>
  <si>
    <t>A ჯგუფში გამარჯვებული</t>
  </si>
  <si>
    <t>A ჯგუფის მონაწილე</t>
  </si>
  <si>
    <t>B ჯგუფში გამარჯვებული</t>
  </si>
  <si>
    <t>Bჯგუფის მონაწილე</t>
  </si>
  <si>
    <t>C ჯგუფში გამარჯვებული</t>
  </si>
  <si>
    <t>C ჯგუფის მონაწილე</t>
  </si>
  <si>
    <t>D ჯგუფში გამარჯვებული</t>
  </si>
  <si>
    <t>D ჯგუფის მონაწილე</t>
  </si>
  <si>
    <t>მეოთხედფინალის 1 გამარჯვებული</t>
  </si>
  <si>
    <t>მეოთხედფინალის 2 გამარჯვებული</t>
  </si>
  <si>
    <t>მეოთხედფინალის 3 გამარჯვებული</t>
  </si>
  <si>
    <t>მეოთხედფინალის 4 გამარჯვებული</t>
  </si>
  <si>
    <t>ნახევარფინალის 1 გამარჯვებული</t>
  </si>
  <si>
    <t>ნახევარფინალის 2 გამარჯვებული</t>
  </si>
  <si>
    <t>ნახევარფინალის 1 დამარცხებული</t>
  </si>
  <si>
    <t>ნახევარფინალის 2 დამარცხებული</t>
  </si>
  <si>
    <t>Icelandic</t>
  </si>
  <si>
    <t>Portúgal</t>
  </si>
  <si>
    <t>Tékkland</t>
  </si>
  <si>
    <t>Frakkland</t>
  </si>
  <si>
    <t>Ítalía</t>
  </si>
  <si>
    <t>Þýskaland</t>
  </si>
  <si>
    <t>Pólland</t>
  </si>
  <si>
    <t>Króatía</t>
  </si>
  <si>
    <t>Grikkland</t>
  </si>
  <si>
    <t>Spánn</t>
  </si>
  <si>
    <t>Svíþjóð</t>
  </si>
  <si>
    <t>Rússland</t>
  </si>
  <si>
    <t>J</t>
  </si>
  <si>
    <t>Mörk</t>
  </si>
  <si>
    <t>Stig</t>
  </si>
  <si>
    <t>Riðill</t>
  </si>
  <si>
    <t>Fyrsta umferð</t>
  </si>
  <si>
    <t>Önnur umferð</t>
  </si>
  <si>
    <t>Átta liða úrslit</t>
  </si>
  <si>
    <t>Undanúrslit</t>
  </si>
  <si>
    <t>Úrslit</t>
  </si>
  <si>
    <t>1. sæti A riðli</t>
  </si>
  <si>
    <t>2. sæti A riðli</t>
  </si>
  <si>
    <t>1. sæti B riðli</t>
  </si>
  <si>
    <t>2. sæti B riðli</t>
  </si>
  <si>
    <t>1. sæti C riðli</t>
  </si>
  <si>
    <t>2. sæti C riðli</t>
  </si>
  <si>
    <t>1. sæti D riðli</t>
  </si>
  <si>
    <t>2. sæti D riðli</t>
  </si>
  <si>
    <t>Sigurvegari átta liða úrslita 1</t>
  </si>
  <si>
    <t>Sigurvegari átta liða úrslita 2</t>
  </si>
  <si>
    <t>Sigurvegari átta liða úrslita 3</t>
  </si>
  <si>
    <t>Sigurvegari átta liða úrslita 4</t>
  </si>
  <si>
    <t>Sigurvegari Undanúrslita 1</t>
  </si>
  <si>
    <t>Sigurvegari Undanúrslita 2</t>
  </si>
  <si>
    <t>Taplið Undanúrslita 1</t>
  </si>
  <si>
    <t>Taplið Undanúrslita 2</t>
  </si>
  <si>
    <t>Maí</t>
  </si>
  <si>
    <t>Ágú</t>
  </si>
  <si>
    <t>Nóv</t>
  </si>
  <si>
    <t>Heimsæktu heimasíðu</t>
  </si>
  <si>
    <t>Tschechien</t>
  </si>
  <si>
    <t>Niederlande</t>
  </si>
  <si>
    <t>F – G</t>
  </si>
  <si>
    <t>Erste Runde</t>
  </si>
  <si>
    <t>Zweite Runde</t>
  </si>
  <si>
    <t>Viertelfinale</t>
  </si>
  <si>
    <t>Ελλάδα</t>
  </si>
  <si>
    <t>Ρωσία</t>
  </si>
  <si>
    <t>Νικητής Α Ομίλου</t>
  </si>
  <si>
    <t>Νικητής B Ομίλου</t>
  </si>
  <si>
    <t>Νικητής Γ Ομίλου</t>
  </si>
  <si>
    <t>Νικητής Δ Ομίλου</t>
  </si>
  <si>
    <t>Halbfinale</t>
  </si>
  <si>
    <t>Viertelfinal-Sieger 1</t>
  </si>
  <si>
    <t>Viertelfinal-Sieger 2</t>
  </si>
  <si>
    <t>Viertelfinal-Sieger 3</t>
  </si>
  <si>
    <t>Viertelfinal-Sieger 4</t>
  </si>
  <si>
    <t>Halbfinal-Sieger 1</t>
  </si>
  <si>
    <t>Halbfinal-Sieger 2</t>
  </si>
  <si>
    <t>Halbfinal-Zweiter 1</t>
  </si>
  <si>
    <t>Halbfinal-Zweiter 2</t>
  </si>
  <si>
    <t>Dez</t>
  </si>
  <si>
    <t>Besuchen Sie unsere Homepage</t>
  </si>
  <si>
    <t>Česká Republika</t>
  </si>
  <si>
    <t>Francúzsko</t>
  </si>
  <si>
    <t>Taliansko</t>
  </si>
  <si>
    <t>Holandsko</t>
  </si>
  <si>
    <t>Nemecko</t>
  </si>
  <si>
    <t>Poľsko</t>
  </si>
  <si>
    <t>Chorvátsko</t>
  </si>
  <si>
    <t>Grécko</t>
  </si>
  <si>
    <t>Španielsko</t>
  </si>
  <si>
    <t>Prvé kolo</t>
  </si>
  <si>
    <t>Štvrťfinále</t>
  </si>
  <si>
    <t>Víťaz skupiny A</t>
  </si>
  <si>
    <t>Postupujúci zo skupiny A</t>
  </si>
  <si>
    <t>Víťaz skupiny B</t>
  </si>
  <si>
    <t>Postupujúci zo skupiny B</t>
  </si>
  <si>
    <t>Víťaz skupiny C</t>
  </si>
  <si>
    <t>Postupujúci zo skupiny C</t>
  </si>
  <si>
    <t>Víťaz skupiny D</t>
  </si>
  <si>
    <t>Postupujúci zo skupiny D</t>
  </si>
  <si>
    <t>Víťaz 1.štvrťfinále</t>
  </si>
  <si>
    <t>Víťaz 2.štvrťfinále</t>
  </si>
  <si>
    <t>Víťaz 3.štvrťfinále</t>
  </si>
  <si>
    <t>Víťaz 4.štvrťfinále</t>
  </si>
  <si>
    <t>Víťaz 1.semifinále</t>
  </si>
  <si>
    <t>Víťaz 2.semifinále</t>
  </si>
  <si>
    <t>Porazený 1.semifinále</t>
  </si>
  <si>
    <t>Porazený 2.semifinále</t>
  </si>
  <si>
    <t>Slovak</t>
  </si>
  <si>
    <t>פורטוגל</t>
  </si>
  <si>
    <t>צ'כיה</t>
  </si>
  <si>
    <t>צרפת</t>
  </si>
  <si>
    <t>איטליה</t>
  </si>
  <si>
    <t>הולנד</t>
  </si>
  <si>
    <t>גרמניה</t>
  </si>
  <si>
    <t>פולין</t>
  </si>
  <si>
    <t>קרואטיה</t>
  </si>
  <si>
    <t>יוון</t>
  </si>
  <si>
    <t>ספרד</t>
  </si>
  <si>
    <t>שוודיה</t>
  </si>
  <si>
    <t>רוסיה</t>
  </si>
  <si>
    <t>ת</t>
  </si>
  <si>
    <t>שערים</t>
  </si>
  <si>
    <t>בית</t>
  </si>
  <si>
    <t>סיבוב ראשון</t>
  </si>
  <si>
    <t>Out</t>
  </si>
  <si>
    <t>Δεύτερος Δ Ομίλου</t>
  </si>
  <si>
    <t>סיבוב שני</t>
  </si>
  <si>
    <t>רבע גמר</t>
  </si>
  <si>
    <t>חצי גמר</t>
  </si>
  <si>
    <t>גמר</t>
  </si>
  <si>
    <t>ראש בית A</t>
  </si>
  <si>
    <t>סגנית בית A</t>
  </si>
  <si>
    <t>ראש בית B</t>
  </si>
  <si>
    <t>סגנית בית B</t>
  </si>
  <si>
    <t>ראש בית C</t>
  </si>
  <si>
    <t>סגנית בית C</t>
  </si>
  <si>
    <t>ראש בית D</t>
  </si>
  <si>
    <t>סגנית בית D</t>
  </si>
  <si>
    <t>מנצחת רבע גמר 1</t>
  </si>
  <si>
    <t>מנצחת רבע גמר 2</t>
  </si>
  <si>
    <t>מנצחת רבע גמר 3</t>
  </si>
  <si>
    <t>מנצחת רבע גמר 4</t>
  </si>
  <si>
    <t>מנצחת חצי גמר 1</t>
  </si>
  <si>
    <t>מנצחת חצי גמר 2</t>
  </si>
  <si>
    <t>מפסידת חצי גמר 1</t>
  </si>
  <si>
    <t>מפסידת חצי גמר 2</t>
  </si>
  <si>
    <t>מרץ</t>
  </si>
  <si>
    <t>מאי</t>
  </si>
  <si>
    <t>בקר באתר הבית</t>
  </si>
  <si>
    <t>Hebrew</t>
  </si>
  <si>
    <t>Zweiter Gruppe B</t>
  </si>
  <si>
    <t>Group C Winner</t>
  </si>
  <si>
    <t>Sieger Gruppe C</t>
  </si>
  <si>
    <t>Zweiter Gruppe C</t>
  </si>
  <si>
    <t>Group D Winner</t>
  </si>
  <si>
    <t>Sieger Gruppe D</t>
  </si>
  <si>
    <t>Zweiter Gruppe D</t>
  </si>
  <si>
    <t>Quarter Final 1 Winner</t>
  </si>
  <si>
    <t>Quarter Final 2 Winner</t>
  </si>
  <si>
    <t>Quarter Final 3 Winner</t>
  </si>
  <si>
    <t>Quarter Final 4 Winner</t>
  </si>
  <si>
    <t>Semi Final 1 Winner</t>
  </si>
  <si>
    <t>Semi Final 2 Winner</t>
  </si>
  <si>
    <t>Semi Final 1 Loser</t>
  </si>
  <si>
    <t>Semi Final 2 Loser</t>
  </si>
  <si>
    <t>French</t>
  </si>
  <si>
    <t>Spanish</t>
  </si>
  <si>
    <t>Italian</t>
  </si>
  <si>
    <t>Portuguese</t>
  </si>
  <si>
    <t>Allemagne</t>
  </si>
  <si>
    <t>Pologne</t>
  </si>
  <si>
    <t>Suède</t>
  </si>
  <si>
    <t>Pays-Bas</t>
  </si>
  <si>
    <t>Italie</t>
  </si>
  <si>
    <t>Croatie</t>
  </si>
  <si>
    <t>Espagne</t>
  </si>
  <si>
    <t>N</t>
  </si>
  <si>
    <t>P</t>
  </si>
  <si>
    <t>Bp - Bc</t>
  </si>
  <si>
    <t>Groupe</t>
  </si>
  <si>
    <t>Juin</t>
  </si>
  <si>
    <t>Juil</t>
  </si>
  <si>
    <t>Visitez notre site</t>
  </si>
  <si>
    <t>Alemania</t>
  </si>
  <si>
    <t>Polonia</t>
  </si>
  <si>
    <t>Suecia</t>
  </si>
  <si>
    <t>Holanda</t>
  </si>
  <si>
    <t>Italia</t>
  </si>
  <si>
    <t>República Checa</t>
  </si>
  <si>
    <t>Croacia</t>
  </si>
  <si>
    <t>Francia</t>
  </si>
  <si>
    <t>España</t>
  </si>
  <si>
    <t>PE</t>
  </si>
  <si>
    <t>Grupo</t>
  </si>
  <si>
    <t>Cuartos de Final</t>
  </si>
  <si>
    <t>Primer semifinalista</t>
  </si>
  <si>
    <t>Segundo semifinalista</t>
  </si>
  <si>
    <t>Tercer semifinalista</t>
  </si>
  <si>
    <t>Cuarto semifinalista</t>
  </si>
  <si>
    <t>Finalista</t>
  </si>
  <si>
    <t>Perdedor semifinal</t>
  </si>
  <si>
    <t>Germania</t>
  </si>
  <si>
    <t>Svezia</t>
  </si>
  <si>
    <t>Olanda</t>
  </si>
  <si>
    <t>Portogallo</t>
  </si>
  <si>
    <t>Croazia</t>
  </si>
  <si>
    <t>Spagna</t>
  </si>
  <si>
    <t>Gruppo</t>
  </si>
  <si>
    <t>Quarti di Finale</t>
  </si>
  <si>
    <t>Semifinali</t>
  </si>
  <si>
    <t>Seconda Gruppo A</t>
  </si>
  <si>
    <t>Seconda Gruppo B</t>
  </si>
  <si>
    <t>Seconda Gruppo C</t>
  </si>
  <si>
    <t>Seconda Gruppo D</t>
  </si>
  <si>
    <t>Giu</t>
  </si>
  <si>
    <t>Lug</t>
  </si>
  <si>
    <t>Alemanha</t>
  </si>
  <si>
    <t>Suécia</t>
  </si>
  <si>
    <t>Croácia</t>
  </si>
  <si>
    <t>França</t>
  </si>
  <si>
    <t>Espanha</t>
  </si>
  <si>
    <t>E</t>
  </si>
  <si>
    <t>Gp - Gc</t>
  </si>
  <si>
    <t>Gf - Gv</t>
  </si>
  <si>
    <t>Quartas de Final 1 Vencedor</t>
  </si>
  <si>
    <t>Quartas de Final 2 Vencedor</t>
  </si>
  <si>
    <t>Quartas de Final 3 Vencedor</t>
  </si>
  <si>
    <t>Quartas de Final 4 Vencedor</t>
  </si>
  <si>
    <t>Semifinal 1 Vencedor</t>
  </si>
  <si>
    <t>Semifinal 2 Vencedor</t>
  </si>
  <si>
    <t>Semifinal 1 Perdedor</t>
  </si>
  <si>
    <t>Semifinal 2 Perdedor</t>
  </si>
  <si>
    <t xml:space="preserve">Visite a página pessoal </t>
  </si>
  <si>
    <t>Vainqueur du Quart de Finale 1</t>
  </si>
  <si>
    <t>Vainqueur du Quart de Finale 2</t>
  </si>
  <si>
    <t>Vainqueur du Quart de Finale 3</t>
  </si>
  <si>
    <t>Vainqueur du Quart de Finale 4</t>
  </si>
  <si>
    <t>Vainqueur de la Demi-Finale 1</t>
  </si>
  <si>
    <t>Vainqueur de la Demi-Finale 2</t>
  </si>
  <si>
    <t>Perdant de la Demi-Finale 1</t>
  </si>
  <si>
    <t>Perdant de la Demi-Finale 2</t>
  </si>
  <si>
    <t>Германия</t>
  </si>
  <si>
    <t>Швеция</t>
  </si>
  <si>
    <t>Португалия</t>
  </si>
  <si>
    <t>Италия</t>
  </si>
  <si>
    <t>Чехия</t>
  </si>
  <si>
    <t>Франция</t>
  </si>
  <si>
    <t>Испания</t>
  </si>
  <si>
    <t>П</t>
  </si>
  <si>
    <t>Финал</t>
  </si>
  <si>
    <t>Greece</t>
  </si>
  <si>
    <t>Russia</t>
  </si>
  <si>
    <t>Group A Runner-up</t>
  </si>
  <si>
    <t>Group B Runner-up</t>
  </si>
  <si>
    <t>Group C Runner-up</t>
  </si>
  <si>
    <t>Group D Runner-up</t>
  </si>
  <si>
    <t>S</t>
  </si>
  <si>
    <t>Польша</t>
  </si>
  <si>
    <t>Хорватия</t>
  </si>
  <si>
    <t>В</t>
  </si>
  <si>
    <t>Н</t>
  </si>
  <si>
    <t>З - П</t>
  </si>
  <si>
    <t>Группа</t>
  </si>
  <si>
    <t>Первый круг</t>
  </si>
  <si>
    <t>Одна-восьмая финала</t>
  </si>
  <si>
    <t>Четвертьфиналы</t>
  </si>
  <si>
    <t>Полуфиналы</t>
  </si>
  <si>
    <t>Победитель группы A</t>
  </si>
  <si>
    <t>Второе место в группе A</t>
  </si>
  <si>
    <t>Победитель группы B</t>
  </si>
  <si>
    <t>Второе место в группе B</t>
  </si>
  <si>
    <t>Победитель группы C</t>
  </si>
  <si>
    <t>Второе место в группе C</t>
  </si>
  <si>
    <t>Победитель группы D</t>
  </si>
  <si>
    <t>Второе место в группе D</t>
  </si>
  <si>
    <t>Полуфиналист 1</t>
  </si>
  <si>
    <t>Полуфиналист 2</t>
  </si>
  <si>
    <t>Полуфиналист 3</t>
  </si>
  <si>
    <t>Полуфиналист 4</t>
  </si>
  <si>
    <t>Финалист 1</t>
  </si>
  <si>
    <t>Финалист 2</t>
  </si>
  <si>
    <t>Проигравший в полуфинале 1</t>
  </si>
  <si>
    <t>Проигравший в полуфинале 2</t>
  </si>
  <si>
    <t>Посетите домашнюю страницу</t>
  </si>
  <si>
    <t>Russian</t>
  </si>
  <si>
    <t>Language</t>
  </si>
  <si>
    <t>+0 min</t>
  </si>
  <si>
    <t>+15 min</t>
  </si>
  <si>
    <t>+30 min</t>
  </si>
  <si>
    <t>+45 min</t>
  </si>
  <si>
    <t>Parameters</t>
  </si>
  <si>
    <t>GTM-Time</t>
  </si>
  <si>
    <t>Minutes</t>
  </si>
  <si>
    <t>Semifinal</t>
  </si>
  <si>
    <t>W</t>
  </si>
  <si>
    <t>D</t>
  </si>
  <si>
    <t>L</t>
  </si>
  <si>
    <t>F - A</t>
  </si>
  <si>
    <t>Pnt</t>
  </si>
  <si>
    <t>Place</t>
  </si>
  <si>
    <t>Win</t>
  </si>
  <si>
    <t>Draw</t>
  </si>
  <si>
    <t>Lose</t>
  </si>
  <si>
    <t>F</t>
  </si>
  <si>
    <t>A</t>
  </si>
  <si>
    <t>Germany</t>
  </si>
  <si>
    <t>Second Round</t>
  </si>
  <si>
    <t>Quarter Finals</t>
  </si>
  <si>
    <t>Semi Finals</t>
  </si>
  <si>
    <t>Final</t>
  </si>
  <si>
    <t>First Round</t>
  </si>
  <si>
    <t>Poland</t>
  </si>
  <si>
    <t>Sweden</t>
  </si>
  <si>
    <t>Netherlands</t>
  </si>
  <si>
    <t>Portugal</t>
  </si>
  <si>
    <t>Italy</t>
  </si>
  <si>
    <t>Czech Republic</t>
  </si>
  <si>
    <t>Croatia</t>
  </si>
  <si>
    <t>France</t>
  </si>
  <si>
    <t>Spain</t>
  </si>
  <si>
    <t>R</t>
  </si>
  <si>
    <t>GMT - 11:00</t>
  </si>
  <si>
    <t>GMT - 10:00</t>
  </si>
  <si>
    <t>GMT - 9:00</t>
  </si>
  <si>
    <t>GMT - 8:00</t>
  </si>
  <si>
    <t>GMT</t>
  </si>
  <si>
    <t>GMT - 7:00</t>
  </si>
  <si>
    <t>GMT - 6:00</t>
  </si>
  <si>
    <t>GMT - 5:00</t>
  </si>
  <si>
    <t>GMT - 4:00</t>
  </si>
  <si>
    <t>GMT - 3:00</t>
  </si>
  <si>
    <t>GMT - 2:00</t>
  </si>
  <si>
    <t>GMT - 1:00</t>
  </si>
  <si>
    <t>GMT + 1:00</t>
  </si>
  <si>
    <t>GMT + 2:00</t>
  </si>
  <si>
    <t>GMT + 3:00</t>
  </si>
  <si>
    <t>GMT + 4:00</t>
  </si>
  <si>
    <t>GMT + 5:00</t>
  </si>
  <si>
    <t>GMT + 6:00</t>
  </si>
  <si>
    <t>GMT + 7:00</t>
  </si>
  <si>
    <t>GMT + 8:00</t>
  </si>
  <si>
    <t>GMT + 9:00</t>
  </si>
  <si>
    <t>GMT + 10:00</t>
  </si>
  <si>
    <t>GMT + 11:00</t>
  </si>
  <si>
    <t>GMT + 12:00</t>
  </si>
  <si>
    <t>English</t>
  </si>
  <si>
    <t>German</t>
  </si>
  <si>
    <t>Deutschland</t>
  </si>
  <si>
    <t>Polen</t>
  </si>
  <si>
    <t>Schweden</t>
  </si>
  <si>
    <t>Italien</t>
  </si>
  <si>
    <t>Kroatien</t>
  </si>
  <si>
    <t>Frankreich</t>
  </si>
  <si>
    <t>Spanien</t>
  </si>
  <si>
    <t>G</t>
  </si>
  <si>
    <t>U</t>
  </si>
  <si>
    <t>V</t>
  </si>
  <si>
    <t>Pkt</t>
  </si>
  <si>
    <t>Group</t>
  </si>
  <si>
    <t>Gruppe</t>
  </si>
  <si>
    <t>Finale</t>
  </si>
  <si>
    <t>Visit home page</t>
  </si>
  <si>
    <t>Jun</t>
  </si>
  <si>
    <t>Jul</t>
  </si>
  <si>
    <t>Group A Winner</t>
  </si>
  <si>
    <t>Sieger Gruppe A</t>
  </si>
  <si>
    <t>Zweiter Gruppe A</t>
  </si>
  <si>
    <t>Group B Winner</t>
  </si>
  <si>
    <t>Sieger Gruppe B</t>
  </si>
  <si>
    <t>Греция</t>
  </si>
  <si>
    <t>Россия</t>
  </si>
  <si>
    <t>Jan</t>
  </si>
  <si>
    <t>Feb</t>
  </si>
  <si>
    <t>Mar</t>
  </si>
  <si>
    <t>Apr</t>
  </si>
  <si>
    <t>May</t>
  </si>
  <si>
    <t>Aug</t>
  </si>
  <si>
    <t>Sep</t>
  </si>
  <si>
    <t>Oct</t>
  </si>
  <si>
    <t>Nov</t>
  </si>
  <si>
    <t>Dec</t>
  </si>
  <si>
    <t>République tchèque</t>
  </si>
  <si>
    <t>Rep. Ceca</t>
  </si>
  <si>
    <t>Polónia</t>
  </si>
  <si>
    <t>Grèce</t>
  </si>
  <si>
    <t>Griechenland</t>
  </si>
  <si>
    <t>Grecia</t>
  </si>
  <si>
    <t>Grécia</t>
  </si>
  <si>
    <t>Russie</t>
  </si>
  <si>
    <t>Russland</t>
  </si>
  <si>
    <t>Rusia</t>
  </si>
  <si>
    <t>Rússia</t>
  </si>
  <si>
    <t>Phase de Groupes</t>
  </si>
  <si>
    <t>Fase de Grupos</t>
  </si>
  <si>
    <t>Primo Turno</t>
  </si>
  <si>
    <t>Secondo Turno</t>
  </si>
  <si>
    <t>Quarts de Finale</t>
  </si>
  <si>
    <t>Quartos-de-Final</t>
  </si>
  <si>
    <t>Demi-Finales</t>
  </si>
  <si>
    <t>Meias-Finais</t>
  </si>
  <si>
    <t>Vainqueur Grp. A</t>
  </si>
  <si>
    <t>Campeón Grupo A</t>
  </si>
  <si>
    <t>Vincente Gruppo A</t>
  </si>
  <si>
    <t>Vencedor do Grupo A</t>
  </si>
  <si>
    <t>Deuxième Gr. A</t>
  </si>
  <si>
    <t>Subcampeón Grupo A</t>
  </si>
  <si>
    <t>Segundo do Grupo A</t>
  </si>
  <si>
    <t>Vainqueur Grp. B</t>
  </si>
  <si>
    <t>Campeón Grupo B</t>
  </si>
  <si>
    <t>Vincente Gruppo B</t>
  </si>
  <si>
    <t>Vencedor do Grupo B</t>
  </si>
  <si>
    <t>Deuxième Gr. B</t>
  </si>
  <si>
    <t>Subcampeón Grupo B</t>
  </si>
  <si>
    <t>Segundo do Grupo B</t>
  </si>
  <si>
    <t>Vainqueur Grp. C</t>
  </si>
  <si>
    <t>Campeón Grupo C</t>
  </si>
  <si>
    <t>Vincente Gruppo C</t>
  </si>
  <si>
    <t>Vencedor do Grupo C</t>
  </si>
  <si>
    <t>Deuxième Gr. C</t>
  </si>
  <si>
    <t>Subcampeón Grupo C</t>
  </si>
  <si>
    <t>Segundo do Grupo C</t>
  </si>
  <si>
    <t>Vainqueur Grp. D</t>
  </si>
  <si>
    <t>Campeón Grupo D</t>
  </si>
  <si>
    <t>Vincente Gruppo D</t>
  </si>
  <si>
    <t>Vencedor do Grupo D</t>
  </si>
  <si>
    <t>Deuxième Gr. D</t>
  </si>
  <si>
    <t>Subcampeón Grupo D</t>
  </si>
  <si>
    <t>Segundo do Grupo D</t>
  </si>
  <si>
    <t>Vincente Quarto di Finale 1</t>
  </si>
  <si>
    <t>Vincente Quarto di Finale 2</t>
  </si>
  <si>
    <t>Vincente Quarto di Finale 3</t>
  </si>
  <si>
    <t>Vincente Quarto di Finale 4</t>
  </si>
  <si>
    <t>Vincente Semifinale 1</t>
  </si>
  <si>
    <t>Vincente Semifinale 2</t>
  </si>
  <si>
    <t>Perdente Semifinale 1</t>
  </si>
  <si>
    <t>Perdente Semifinale 2</t>
  </si>
  <si>
    <t>Gen</t>
  </si>
  <si>
    <t>Mag</t>
  </si>
  <si>
    <t>Ago</t>
  </si>
  <si>
    <t>Set</t>
  </si>
  <si>
    <t>Ott</t>
  </si>
  <si>
    <t>Dic</t>
  </si>
  <si>
    <t>Visita la Home Page</t>
  </si>
  <si>
    <t>GF - GS</t>
  </si>
  <si>
    <t xml:space="preserve">Team  </t>
  </si>
  <si>
    <t>Polish</t>
  </si>
  <si>
    <t>Arabic</t>
  </si>
  <si>
    <t>Portugalia</t>
  </si>
  <si>
    <t>Czechy</t>
  </si>
  <si>
    <t>Francja</t>
  </si>
  <si>
    <t>Włochy</t>
  </si>
  <si>
    <t>Holandia</t>
  </si>
  <si>
    <t>Niemcy</t>
  </si>
  <si>
    <t>Polska</t>
  </si>
  <si>
    <t>Chorwacja</t>
  </si>
  <si>
    <t>Grecja</t>
  </si>
  <si>
    <t>Hiszpania</t>
  </si>
  <si>
    <t>Szwecja</t>
  </si>
  <si>
    <t>Rosja</t>
  </si>
  <si>
    <t>Z</t>
  </si>
  <si>
    <t>BZ-BS</t>
  </si>
  <si>
    <t>Grupa</t>
  </si>
  <si>
    <t>1 runda</t>
  </si>
  <si>
    <t>2 runda</t>
  </si>
  <si>
    <t>Ćwierćfinał</t>
  </si>
  <si>
    <t>Półfinał</t>
  </si>
  <si>
    <t>Finał</t>
  </si>
  <si>
    <t>Zwycięzca grupy A</t>
  </si>
  <si>
    <t>Drugi zespół grupy A</t>
  </si>
  <si>
    <t>Zwycięzca grupy B</t>
  </si>
  <si>
    <t>Drugi zespół grupy B</t>
  </si>
  <si>
    <t>Zwycięzca grupy C</t>
  </si>
  <si>
    <t>Drugi zespół grupy C</t>
  </si>
  <si>
    <t>Zwycięzca grupy D</t>
  </si>
  <si>
    <t>Drugi zespół grupy D</t>
  </si>
  <si>
    <t>Zwycięzca pierwszego ćwierćfinału</t>
  </si>
  <si>
    <t>Zwycięzca drugiego ćwierćfinału</t>
  </si>
  <si>
    <t>Zwycięzca trzeciego ćwierćfinału</t>
  </si>
  <si>
    <t>Zwycięzca czwartego ćwierćfinału</t>
  </si>
  <si>
    <t>Zwycięzca pierwszego półfinału</t>
  </si>
  <si>
    <t>Zwycięzca drugiego półfinału</t>
  </si>
  <si>
    <t>Przegrany pierwszego półfinału</t>
  </si>
  <si>
    <t>Przegrany drugiego półfinału</t>
  </si>
  <si>
    <t>Sty</t>
  </si>
  <si>
    <t>Lut</t>
  </si>
  <si>
    <t>Kwi</t>
  </si>
  <si>
    <t>Maj</t>
  </si>
  <si>
    <t>Lip</t>
  </si>
  <si>
    <t>Się</t>
  </si>
  <si>
    <t>Wrz</t>
  </si>
  <si>
    <t>Lis</t>
  </si>
  <si>
    <t>Odwiedź stronę domową.</t>
  </si>
  <si>
    <t>البرتغال</t>
  </si>
  <si>
    <t>جمهورية التشيك</t>
  </si>
  <si>
    <t>فرنسا</t>
  </si>
  <si>
    <t>إيطاليا</t>
  </si>
  <si>
    <t>هولندا</t>
  </si>
  <si>
    <t>ألمانيا</t>
  </si>
  <si>
    <t>بولندا</t>
  </si>
  <si>
    <t>كرواتيا</t>
  </si>
  <si>
    <t>اليونان</t>
  </si>
  <si>
    <t>السويد</t>
  </si>
  <si>
    <t>روسيا</t>
  </si>
  <si>
    <t>تعادل</t>
  </si>
  <si>
    <t>له - عليه</t>
  </si>
  <si>
    <t>المجموعة</t>
  </si>
  <si>
    <t>الدور الاول</t>
  </si>
  <si>
    <t>الدور الثاني</t>
  </si>
  <si>
    <t>ربع النهائي</t>
  </si>
  <si>
    <t>نصف النهائي</t>
  </si>
  <si>
    <t>أول المجموعة أ</t>
  </si>
  <si>
    <t>ثاني المجموعة أ</t>
  </si>
  <si>
    <t>أول المجموعة ب</t>
  </si>
  <si>
    <t>ثاني المجموعة ب</t>
  </si>
  <si>
    <t>أول المجموعة ج</t>
  </si>
  <si>
    <t>ثاني المجموعة ج</t>
  </si>
  <si>
    <t>أول المجموعة د</t>
  </si>
  <si>
    <t>ثاني المجموعة د</t>
  </si>
  <si>
    <t>الفائز الاول - ربع النهائي</t>
  </si>
  <si>
    <t>الفائز الثاني - ربع النهائي</t>
  </si>
  <si>
    <t>الفائز الثالث - ربع النهائي</t>
  </si>
  <si>
    <t>الفائز الرابع - ربع النهائي</t>
  </si>
  <si>
    <t>الفائز الأول - نسف النهائي</t>
  </si>
  <si>
    <t>الفائز الثاني - نصف النهائي</t>
  </si>
  <si>
    <t>الخاسر الأول - نصف النهائي</t>
  </si>
  <si>
    <t>الخاسر الثاني - نصف النهائي</t>
  </si>
  <si>
    <t>مارس</t>
  </si>
  <si>
    <t>زيارة الصفحة الرئيسية</t>
  </si>
  <si>
    <t>Portugalija</t>
  </si>
  <si>
    <t>Čekija</t>
  </si>
  <si>
    <t>Prancūzija</t>
  </si>
  <si>
    <t>Italija</t>
  </si>
  <si>
    <t>Vokietija</t>
  </si>
  <si>
    <t>Lenkija</t>
  </si>
  <si>
    <t>Kroatija</t>
  </si>
  <si>
    <t>Graikija</t>
  </si>
  <si>
    <t>Ispanija</t>
  </si>
  <si>
    <t>Švedija</t>
  </si>
  <si>
    <t>Rusija</t>
  </si>
  <si>
    <t>Ly.</t>
  </si>
  <si>
    <t>Įm. - Pr.</t>
  </si>
  <si>
    <t>Grupė</t>
  </si>
  <si>
    <t>Pirmas turas</t>
  </si>
  <si>
    <t>Antras turas</t>
  </si>
  <si>
    <t>Ketvirtfinalis</t>
  </si>
  <si>
    <t>Pusfinalis</t>
  </si>
  <si>
    <t>Finalas</t>
  </si>
  <si>
    <t>A grupės nugalėtojas</t>
  </si>
  <si>
    <t>A grupės 2 vietos laimėtojas</t>
  </si>
  <si>
    <t>B grupės nugalėtojas</t>
  </si>
  <si>
    <t>B grupės 2 vietos laimėtojas</t>
  </si>
  <si>
    <t>C grupės nugalėtojas</t>
  </si>
  <si>
    <t>C grupės 2 vietos laimėtojas</t>
  </si>
  <si>
    <t>D grupės nugalėtojas</t>
  </si>
  <si>
    <t>D grupės 2 vietos laimėtojas</t>
  </si>
  <si>
    <t>Pirmos ketvirtfinalio poros nugalėtojas</t>
  </si>
  <si>
    <t>Antros ketvirtfinalio poros nugalėtojas</t>
  </si>
  <si>
    <t>Trečios ketvirtfinalio poros nugalėtojas</t>
  </si>
  <si>
    <t>Ketvirtos ketvirtfinalio poros nugalėtojas</t>
  </si>
  <si>
    <t>Pirmos pusfinalio poros nugalėtojas</t>
  </si>
  <si>
    <t>Antros pusfinalio poros nugalėtojas</t>
  </si>
  <si>
    <t>Pirmos pusfinalio poros pralaimėtojas</t>
  </si>
  <si>
    <t>Antros pusfinalio poros pralaimėtojas</t>
  </si>
  <si>
    <t>Vas</t>
  </si>
  <si>
    <t>Kov</t>
  </si>
  <si>
    <t>Bal</t>
  </si>
  <si>
    <t>Geg</t>
  </si>
  <si>
    <t>Lie</t>
  </si>
  <si>
    <t>Spa</t>
  </si>
  <si>
    <t>Gru</t>
  </si>
  <si>
    <t>Aplankykite internetinį namų tinklapį</t>
  </si>
  <si>
    <t xml:space="preserve">G </t>
  </si>
  <si>
    <t>Grup</t>
  </si>
  <si>
    <t>Abr</t>
  </si>
  <si>
    <t>Mai</t>
  </si>
  <si>
    <t>Lithuanian</t>
  </si>
  <si>
    <t>Turkish</t>
  </si>
  <si>
    <t>Portekiz</t>
  </si>
  <si>
    <t>Çek Cumhuriyeti</t>
  </si>
  <si>
    <t>Fransa</t>
  </si>
  <si>
    <t>İtalya</t>
  </si>
  <si>
    <t>Hollanda</t>
  </si>
  <si>
    <t>Almanya</t>
  </si>
  <si>
    <t>Polonya</t>
  </si>
  <si>
    <t>Hırvatistan</t>
  </si>
  <si>
    <t>Yunanistan</t>
  </si>
  <si>
    <t>İspanya</t>
  </si>
  <si>
    <t>İsveç</t>
  </si>
  <si>
    <t>Rusya</t>
  </si>
  <si>
    <t>B</t>
  </si>
  <si>
    <t>M</t>
  </si>
  <si>
    <t>A-Y</t>
  </si>
  <si>
    <t>1.Tur</t>
  </si>
  <si>
    <t>2.Tur</t>
  </si>
  <si>
    <t>Çeyrek Final</t>
  </si>
  <si>
    <t>Yarı Final</t>
  </si>
  <si>
    <t>Üçüncülük Maçı</t>
  </si>
  <si>
    <t>Grup A Birincisi</t>
  </si>
  <si>
    <t>Grup A İkincisi</t>
  </si>
  <si>
    <t>Grup B Birincisi</t>
  </si>
  <si>
    <t>Grup B İkincisi</t>
  </si>
  <si>
    <t>Grup C Birincisi</t>
  </si>
  <si>
    <t>Grup C İkincisi</t>
  </si>
  <si>
    <t>Grup D Birincisi</t>
  </si>
  <si>
    <t>Grup D İkincisi</t>
  </si>
  <si>
    <t>Çeyrek Final Kazanan 1</t>
  </si>
  <si>
    <t>Çeyrek Final Kazanan 2</t>
  </si>
  <si>
    <t>Çeyrek Final Kazanan 3</t>
  </si>
  <si>
    <t>Çeyrek Final Kazanan 4</t>
  </si>
  <si>
    <t>Yarı Final Kazanan 1</t>
  </si>
  <si>
    <t>Yarı Final Kazanan 2</t>
  </si>
  <si>
    <t>Yarı Final Kaybeden 1</t>
  </si>
  <si>
    <t>Yarı Final Kaybeden 2</t>
  </si>
  <si>
    <t>Ana Sayfayı Ziyaret Ediniz</t>
  </si>
  <si>
    <t>Portugália</t>
  </si>
  <si>
    <t>Csehország</t>
  </si>
  <si>
    <t>Franciaország</t>
  </si>
  <si>
    <t>Olaszország</t>
  </si>
  <si>
    <t>Hollandia</t>
  </si>
  <si>
    <t>Németország</t>
  </si>
  <si>
    <t>Lengyelország</t>
  </si>
  <si>
    <t>Horvátország</t>
  </si>
  <si>
    <t>Görögország</t>
  </si>
  <si>
    <t>Spanyolország</t>
  </si>
  <si>
    <t>Svédország</t>
  </si>
  <si>
    <t>Oroszország</t>
  </si>
  <si>
    <t>Gólkül.</t>
  </si>
  <si>
    <t>Csoport</t>
  </si>
  <si>
    <t>Első kör</t>
  </si>
  <si>
    <t>Második kör</t>
  </si>
  <si>
    <t>Negyeddöntők</t>
  </si>
  <si>
    <t>Elődöntők</t>
  </si>
  <si>
    <t>Döntő</t>
  </si>
  <si>
    <t>A csoport győztese</t>
  </si>
  <si>
    <t>A csoport 2. helyezettje</t>
  </si>
  <si>
    <t>B csoport győztese</t>
  </si>
  <si>
    <t>B csoport 2. helyezettje</t>
  </si>
  <si>
    <t>C csoport győztese</t>
  </si>
  <si>
    <t>C csoport 2. helyezettje</t>
  </si>
  <si>
    <t>D csoport győztese</t>
  </si>
  <si>
    <t>D csoport 2. helyezettje</t>
  </si>
  <si>
    <t>1. Negyeddöntő győztese</t>
  </si>
  <si>
    <t>2. Negyeddöntő győztese</t>
  </si>
  <si>
    <t>3. Negyeddöntő győztese</t>
  </si>
  <si>
    <t>4. Negyeddöntő győztese</t>
  </si>
  <si>
    <t>1. Elődöntő győztese</t>
  </si>
  <si>
    <t>2. Elődöntő győztese</t>
  </si>
  <si>
    <t>1. Elődöntő vesztese</t>
  </si>
  <si>
    <t>2. Elődöntő vesztese</t>
  </si>
  <si>
    <t>Már</t>
  </si>
  <si>
    <t>Ápr</t>
  </si>
  <si>
    <t>Máj</t>
  </si>
  <si>
    <t>Jún</t>
  </si>
  <si>
    <t>Júl</t>
  </si>
  <si>
    <t>Okt</t>
  </si>
  <si>
    <t>Látogass el honlapunkra</t>
  </si>
  <si>
    <t>Hungarian</t>
  </si>
  <si>
    <t>Cehia</t>
  </si>
  <si>
    <t>Franta</t>
  </si>
  <si>
    <t>Spania</t>
  </si>
  <si>
    <t>Suedia</t>
  </si>
  <si>
    <t>I</t>
  </si>
  <si>
    <t>I - P</t>
  </si>
  <si>
    <t>Prima Runda</t>
  </si>
  <si>
    <t>Sferturi de Finala</t>
  </si>
  <si>
    <t>Semifinale</t>
  </si>
  <si>
    <t>Castigatoarea Grupei A</t>
  </si>
  <si>
    <t>A doua din Grupa A</t>
  </si>
  <si>
    <t>Castigatoarea Grupei B</t>
  </si>
  <si>
    <t>A doua din Grupa B</t>
  </si>
  <si>
    <t>Castigatoarea Grupei C</t>
  </si>
  <si>
    <t>A doua din Grupa C</t>
  </si>
  <si>
    <t>Castigatoarea Grupei D</t>
  </si>
  <si>
    <t>A doua din Grupa D</t>
  </si>
  <si>
    <t>Castigatoarea Sfert Finala 1</t>
  </si>
  <si>
    <t>Castigatoarea Sfert Finala 2</t>
  </si>
  <si>
    <t>Castigatoarea Sfert Finala 3</t>
  </si>
  <si>
    <t>Castigatoarea Sfert Finala 4</t>
  </si>
  <si>
    <t>Castigatoarea Semifinala 1</t>
  </si>
  <si>
    <t>Castigatoarea Semifinala 2</t>
  </si>
  <si>
    <t>Invinsa Semifinala 1</t>
  </si>
  <si>
    <t>Invinsa Semifinala 2</t>
  </si>
  <si>
    <t>Ian</t>
  </si>
  <si>
    <t>Iun</t>
  </si>
  <si>
    <t>Iul</t>
  </si>
  <si>
    <t>Vizitati pagina principala</t>
  </si>
  <si>
    <t>A Doua Runda</t>
  </si>
  <si>
    <t>Romanian</t>
  </si>
  <si>
    <t>Spanja</t>
  </si>
  <si>
    <t>T</t>
  </si>
  <si>
    <t>Punti</t>
  </si>
  <si>
    <t>Grupp</t>
  </si>
  <si>
    <t>Greek</t>
  </si>
  <si>
    <t>Τσεχία</t>
  </si>
  <si>
    <t>Γαλλία</t>
  </si>
  <si>
    <t>Ιταλία</t>
  </si>
  <si>
    <t>Ολλανδία</t>
  </si>
  <si>
    <t>Γερμανία</t>
  </si>
  <si>
    <t>Πολωνία</t>
  </si>
  <si>
    <t xml:space="preserve">Κροατία </t>
  </si>
  <si>
    <t>Ισπανία</t>
  </si>
  <si>
    <t>Σουηδία</t>
  </si>
  <si>
    <t>Ν</t>
  </si>
  <si>
    <t>Ι</t>
  </si>
  <si>
    <t>Εν - Εκ</t>
  </si>
  <si>
    <t>Πρώτος Γυρος</t>
  </si>
  <si>
    <t>Δεύτερος Γύρος</t>
  </si>
  <si>
    <t>ΠροΗμιτελικα</t>
  </si>
  <si>
    <t>Ημιτελικά</t>
  </si>
  <si>
    <t>Τελικός</t>
  </si>
  <si>
    <t>Δεύτερος Α Ομίλου</t>
  </si>
  <si>
    <t>Δεύτερος B Ομίλου</t>
  </si>
  <si>
    <t>Δεύτερος Γ Ομίλου</t>
  </si>
  <si>
    <t>Νικητής 1ου Προημιτελικού</t>
  </si>
  <si>
    <t>Νικητής 2ου Προημιτελικού</t>
  </si>
  <si>
    <t>Νικητής 3ου Προημιτελικού</t>
  </si>
  <si>
    <t>Νικητής 4ου Προημιτελικού</t>
  </si>
  <si>
    <t>Νικητής 1ου Ημιτελικού</t>
  </si>
  <si>
    <t>Νικητής 2ου Ημιτελικού</t>
  </si>
  <si>
    <t>Ηττημένος 1ου Ημιτελικού</t>
  </si>
  <si>
    <t>Ηττημένος 2ου Ημιτελικού</t>
  </si>
  <si>
    <t>Επισκεφθείτε την ιστοσελίδα μας</t>
  </si>
  <si>
    <t>Vietnamese</t>
  </si>
  <si>
    <t>Bồ Đào Nha</t>
  </si>
  <si>
    <t>CH Séc</t>
  </si>
  <si>
    <t>Pháp</t>
  </si>
  <si>
    <t>Hà Lan</t>
  </si>
  <si>
    <t>Đức</t>
  </si>
  <si>
    <t>Ba Lan</t>
  </si>
  <si>
    <t>Tây Ban Nha</t>
  </si>
  <si>
    <t>Thụy Điển</t>
  </si>
  <si>
    <t>Nga</t>
  </si>
  <si>
    <t>H</t>
  </si>
  <si>
    <t>HS</t>
  </si>
  <si>
    <t>Điểm</t>
  </si>
  <si>
    <t>Bảng</t>
  </si>
  <si>
    <t>Vòng đấu bảng</t>
  </si>
  <si>
    <t>Vòng hai</t>
  </si>
  <si>
    <t>Tứ kết</t>
  </si>
  <si>
    <t>Bán kết</t>
  </si>
  <si>
    <t>Tranh hạng 3</t>
  </si>
  <si>
    <t>Nhất A</t>
  </si>
  <si>
    <t>Nhì A</t>
  </si>
  <si>
    <t>Nhất B</t>
  </si>
  <si>
    <t>Nhì B</t>
  </si>
  <si>
    <t>Nhất C</t>
  </si>
  <si>
    <t>Nhì C</t>
  </si>
  <si>
    <t>Nhất D</t>
  </si>
  <si>
    <t>Nhì D</t>
  </si>
  <si>
    <t>Thắng TK1</t>
  </si>
  <si>
    <t>Thắng TK2</t>
  </si>
  <si>
    <t>Thắng TK3</t>
  </si>
  <si>
    <t>Thắng TK4</t>
  </si>
  <si>
    <t>Thắng BK1</t>
  </si>
  <si>
    <t>Thắng BK2</t>
  </si>
  <si>
    <t>Thua BK1</t>
  </si>
  <si>
    <t>Thua BK2</t>
  </si>
  <si>
    <t>Tháng 1</t>
  </si>
  <si>
    <t>Tháng 2</t>
  </si>
  <si>
    <t>Tháng 3</t>
  </si>
  <si>
    <t>Tháng 4</t>
  </si>
  <si>
    <t>Tháng 5</t>
  </si>
  <si>
    <t>Tháng 6</t>
  </si>
  <si>
    <t>Tháng 7</t>
  </si>
  <si>
    <t>Tháng 8</t>
  </si>
  <si>
    <t>Tháng 9</t>
  </si>
  <si>
    <t>Tháng 10</t>
  </si>
  <si>
    <t>Tháng 11</t>
  </si>
  <si>
    <t>Tháng 12</t>
  </si>
  <si>
    <t>Thăm trang chủ</t>
  </si>
  <si>
    <t>Mei</t>
  </si>
  <si>
    <t>Des</t>
  </si>
  <si>
    <t>Tjechië</t>
  </si>
  <si>
    <t>Frankrijk</t>
  </si>
  <si>
    <t>Italië</t>
  </si>
  <si>
    <t>Nederland</t>
  </si>
  <si>
    <t>Duitsland</t>
  </si>
  <si>
    <t>Kroatië</t>
  </si>
  <si>
    <t>Griekenland</t>
  </si>
  <si>
    <t>Spanje</t>
  </si>
  <si>
    <t>Zweden</t>
  </si>
  <si>
    <t>Rusland</t>
  </si>
  <si>
    <t>Dv - Dt</t>
  </si>
  <si>
    <t>Groep</t>
  </si>
  <si>
    <t>Eerste ronde</t>
  </si>
  <si>
    <t>Tweede ronde</t>
  </si>
  <si>
    <t>Kwart finale</t>
  </si>
  <si>
    <t>Halve finale</t>
  </si>
  <si>
    <t>Winnaar groep 1</t>
  </si>
  <si>
    <t>Winnaar groep 2</t>
  </si>
  <si>
    <t>Winnaar groep 3</t>
  </si>
  <si>
    <t>Winnaar groep 4</t>
  </si>
  <si>
    <t>Winnaar 1ste kwart finale</t>
  </si>
  <si>
    <t>Winnaar 2de kwart finale</t>
  </si>
  <si>
    <t>Winnaar 3de kwart finale</t>
  </si>
  <si>
    <t>Winnaar 4de kwart finale</t>
  </si>
  <si>
    <t>Winnaar 1ste halve finale</t>
  </si>
  <si>
    <t>Winnaar 2de halve finale</t>
  </si>
  <si>
    <t>Verliezer 1ste halve finale</t>
  </si>
  <si>
    <t>Verliezer 2de halve finale</t>
  </si>
  <si>
    <t>jan</t>
  </si>
  <si>
    <t>apr</t>
  </si>
  <si>
    <t>jun</t>
  </si>
  <si>
    <t>jul</t>
  </si>
  <si>
    <t>sep</t>
  </si>
  <si>
    <t>okt</t>
  </si>
  <si>
    <t>nov</t>
  </si>
  <si>
    <t>dec</t>
  </si>
  <si>
    <t>bezoek home page</t>
  </si>
  <si>
    <t>Dutch</t>
  </si>
  <si>
    <t>Nummer 2 groep 1</t>
  </si>
  <si>
    <t>Nummer 2 groep 2</t>
  </si>
  <si>
    <t>Nummer 2 groep 3</t>
  </si>
  <si>
    <t>Nummer 2 groep 4</t>
  </si>
  <si>
    <t>Portugalska</t>
  </si>
  <si>
    <t>Češka</t>
  </si>
  <si>
    <t>Francija</t>
  </si>
  <si>
    <t>Nizozemska</t>
  </si>
  <si>
    <t>Nemčija</t>
  </si>
  <si>
    <t>Hrvaška</t>
  </si>
  <si>
    <t>Grčija</t>
  </si>
  <si>
    <t>Španija</t>
  </si>
  <si>
    <t>Švedska</t>
  </si>
  <si>
    <t>Raz</t>
  </si>
  <si>
    <t>Skupina</t>
  </si>
  <si>
    <t>Prvi Krog</t>
  </si>
  <si>
    <t>Drugi Krog</t>
  </si>
  <si>
    <t>Četrtfinale</t>
  </si>
  <si>
    <t>Polfinale</t>
  </si>
  <si>
    <t>Zmagovalec Skupine A</t>
  </si>
  <si>
    <t>Drugi iz skupine A</t>
  </si>
  <si>
    <t>Zmagovalec Skupine B</t>
  </si>
  <si>
    <t>Drugi iz skupine B</t>
  </si>
  <si>
    <t>Zmagovalec Skupine C</t>
  </si>
  <si>
    <t>Drugi iz skupine C</t>
  </si>
  <si>
    <t>Zmagovalec Skupine D</t>
  </si>
  <si>
    <t>Drugi iz skupine D</t>
  </si>
  <si>
    <t>Zmagovalec Četrtfinala 1</t>
  </si>
  <si>
    <t>Zmagovalec Četrtfinala 2</t>
  </si>
  <si>
    <t>Zmagovalec Četrtfinala 3</t>
  </si>
  <si>
    <t>Zmagovalec Četrtfinala 4</t>
  </si>
  <si>
    <t>Zmagovalec Polfinala 1</t>
  </si>
  <si>
    <t>Zmagovalec Polfinala 2</t>
  </si>
  <si>
    <t>Poraženec Polfinala 1</t>
  </si>
  <si>
    <t>Poraženec Polfinala 2</t>
  </si>
  <si>
    <t>Avg</t>
  </si>
  <si>
    <t>Obišči domačo stran</t>
  </si>
  <si>
    <t>Slovenian</t>
  </si>
  <si>
    <t>Холандия</t>
  </si>
  <si>
    <t>Полша</t>
  </si>
  <si>
    <t>Хърватия</t>
  </si>
  <si>
    <t>Гърция</t>
  </si>
  <si>
    <t>Русия</t>
  </si>
  <si>
    <t>Р</t>
  </si>
  <si>
    <t>З</t>
  </si>
  <si>
    <t>ГР.</t>
  </si>
  <si>
    <t>Група</t>
  </si>
  <si>
    <t>Първи етап</t>
  </si>
  <si>
    <t>Втори етап</t>
  </si>
  <si>
    <t>Четвърт финали</t>
  </si>
  <si>
    <t>Полуфинали</t>
  </si>
  <si>
    <t>Победител група А</t>
  </si>
  <si>
    <t>Второ място група А</t>
  </si>
  <si>
    <t>Победител група В</t>
  </si>
  <si>
    <t>Второ място група B</t>
  </si>
  <si>
    <t>Победител група C</t>
  </si>
  <si>
    <t>Второ място група C</t>
  </si>
  <si>
    <t>Победител група D</t>
  </si>
  <si>
    <t>Второ място група D</t>
  </si>
  <si>
    <t>Победител четвъртфинал 1</t>
  </si>
  <si>
    <t>Победител четвъртфинал 2</t>
  </si>
  <si>
    <t>Победител четвъртфинал 3</t>
  </si>
  <si>
    <t>Победител четвъртфинал 4</t>
  </si>
  <si>
    <t>Победител полуфинал 1</t>
  </si>
  <si>
    <t>Победител полуфинал 2</t>
  </si>
  <si>
    <t>Загубил полуфинал 1</t>
  </si>
  <si>
    <t>Януари</t>
  </si>
  <si>
    <t>Февруари</t>
  </si>
  <si>
    <t>Март</t>
  </si>
  <si>
    <t>Април</t>
  </si>
  <si>
    <t>Май</t>
  </si>
  <si>
    <t>Юни</t>
  </si>
  <si>
    <t>Юли</t>
  </si>
  <si>
    <t>Август</t>
  </si>
  <si>
    <t>Септември</t>
  </si>
  <si>
    <t>Ноември</t>
  </si>
  <si>
    <t>Декември</t>
  </si>
  <si>
    <t>Посети личната ни страница:</t>
  </si>
  <si>
    <t>Bulgarian</t>
  </si>
  <si>
    <t>Croatian</t>
  </si>
  <si>
    <t>Francuska</t>
  </si>
  <si>
    <t>Njemačka</t>
  </si>
  <si>
    <t>Poljska</t>
  </si>
  <si>
    <t>Hrvatska</t>
  </si>
  <si>
    <t>Grčka</t>
  </si>
  <si>
    <t>Španjolska</t>
  </si>
  <si>
    <t>Prvo kolo</t>
  </si>
  <si>
    <t>Drugo kolo</t>
  </si>
  <si>
    <t>Četvrtfinala</t>
  </si>
  <si>
    <t>Polufinala</t>
  </si>
  <si>
    <t>Pobjednik skupine A</t>
  </si>
  <si>
    <t>Drugoplasirani skupine A</t>
  </si>
  <si>
    <t>Pobjednik skupine B</t>
  </si>
  <si>
    <t>Drugoplasirani skupine B</t>
  </si>
  <si>
    <t>Pobjednik skupine C</t>
  </si>
  <si>
    <t>Drugoplasirani skupine C</t>
  </si>
  <si>
    <t>Pobjednik skupine D</t>
  </si>
  <si>
    <t>Drugoplasirani skupine D</t>
  </si>
  <si>
    <t>Pobjednik prvog četvrtfinala</t>
  </si>
  <si>
    <t>Pobjednik drugog četvrtfinala</t>
  </si>
  <si>
    <t>Pobjednik trećeg četvrtfinala</t>
  </si>
  <si>
    <t>Pobjednik četvrtog četvrtfinala</t>
  </si>
  <si>
    <t>Pobjednik prvog polufinala</t>
  </si>
  <si>
    <t>Pobjednik drugog polufinala</t>
  </si>
  <si>
    <t>Poraženi prvog polufinala</t>
  </si>
  <si>
    <t>Poraženi drugog polufinala</t>
  </si>
  <si>
    <t>Početna stranica</t>
  </si>
  <si>
    <t>D - P</t>
  </si>
  <si>
    <t>Sij</t>
  </si>
  <si>
    <t>Ožu</t>
  </si>
  <si>
    <t>Tra</t>
  </si>
  <si>
    <t>Svi</t>
  </si>
  <si>
    <t>Srp</t>
  </si>
  <si>
    <t>Kol</t>
  </si>
  <si>
    <t>Ruj</t>
  </si>
  <si>
    <t>Stu</t>
  </si>
  <si>
    <t>Pro</t>
  </si>
  <si>
    <t>Kroatia</t>
  </si>
  <si>
    <t>Danish</t>
  </si>
  <si>
    <t>Tjekkiet</t>
  </si>
  <si>
    <t>Frankrig</t>
  </si>
  <si>
    <t>Holland</t>
  </si>
  <si>
    <t>Tyskland</t>
  </si>
  <si>
    <t>Grækenland</t>
  </si>
  <si>
    <t>Sverige</t>
  </si>
  <si>
    <t>F - M</t>
  </si>
  <si>
    <t>Første Runde</t>
  </si>
  <si>
    <t>Anden Runde</t>
  </si>
  <si>
    <t>Kvartfinaler</t>
  </si>
  <si>
    <t>Semifinaler</t>
  </si>
  <si>
    <t>Vinder i Gruppe A</t>
  </si>
  <si>
    <t>Toer i Gruppe A</t>
  </si>
  <si>
    <t>Vinder i Gruppe B</t>
  </si>
  <si>
    <t>Toer i Gruppe B</t>
  </si>
  <si>
    <t>Vinder i Gruppe C</t>
  </si>
  <si>
    <t>Toer i Gruppe C</t>
  </si>
  <si>
    <t>Vinder i Gruppe D</t>
  </si>
  <si>
    <t>Toer i Gruppe D</t>
  </si>
  <si>
    <t>Kvartfinale 1 Vinder</t>
  </si>
  <si>
    <t>Kvartfinale 2 Vinder</t>
  </si>
  <si>
    <t>Kvartfinale 3 Vinder</t>
  </si>
  <si>
    <t>Kvartfinale 4 Vinder</t>
  </si>
  <si>
    <t>Semifinale 1 vinder</t>
  </si>
  <si>
    <t>Semifinale 2 vinder</t>
  </si>
  <si>
    <t>Semifinale 1 taber</t>
  </si>
  <si>
    <t>Semifinale 2 taber</t>
  </si>
  <si>
    <t>Besøg Hjemmeside</t>
  </si>
  <si>
    <t>Португалија</t>
  </si>
  <si>
    <t>Чешка</t>
  </si>
  <si>
    <t>Италија</t>
  </si>
  <si>
    <t>Холандија</t>
  </si>
  <si>
    <t>Пољска</t>
  </si>
  <si>
    <t>Хрватска</t>
  </si>
  <si>
    <t>Шпанија</t>
  </si>
  <si>
    <t>Шведска</t>
  </si>
  <si>
    <t>Русија</t>
  </si>
  <si>
    <t>И</t>
  </si>
  <si>
    <t>Д-П</t>
  </si>
  <si>
    <t>Први круг</t>
  </si>
  <si>
    <t>Други круг</t>
  </si>
  <si>
    <t>Четвртфинале</t>
  </si>
  <si>
    <t>Полуфинале</t>
  </si>
  <si>
    <t>Финале</t>
  </si>
  <si>
    <t>UEFA EURO 2012 Tournament Schedule</t>
  </si>
  <si>
    <t>UEFA EURO 2012 Spielplan</t>
  </si>
  <si>
    <t>Tabellone UEFA EURO 2012</t>
  </si>
  <si>
    <t>Mistrzostwa Europy 2012</t>
  </si>
  <si>
    <t>2012 metų Europos futbolo čempionato tvarkaraštis</t>
  </si>
  <si>
    <t>UEFA Euro 2012 Leikáætlun</t>
  </si>
  <si>
    <t>UEFA EURO 2012 Döntő Sorozat</t>
  </si>
  <si>
    <t>Programul Turneului Final UEFA EURO 2012</t>
  </si>
  <si>
    <t>Europacup 2012 Toernooi Overzicht</t>
  </si>
  <si>
    <t>UEFA EURO 2012 Tunerings Oversigt</t>
  </si>
  <si>
    <t>UEFA EURO 2012 Rozpis turnaje</t>
  </si>
  <si>
    <t>UEFA EURO 2012 Razpored Tekem</t>
  </si>
  <si>
    <t>UEFA EURO 2012 Rozpis turnaja</t>
  </si>
  <si>
    <t>UEFA EURO 2012 Spelplan</t>
  </si>
  <si>
    <t>UEFA EURO 2012 Tabell</t>
  </si>
  <si>
    <t>Raspored utakmica na UEFA EURO 2012</t>
  </si>
  <si>
    <t>UEFA EURO 2012 Распоред утакмица</t>
  </si>
  <si>
    <t>UEFA EURO 2012 Orari i Garës</t>
  </si>
  <si>
    <t>UEFA EURO 2012 Raspored Pervenstva</t>
  </si>
  <si>
    <t>Програма на UEFA EURO 2012</t>
  </si>
  <si>
    <t>Προγραμμα Τουρνουα UEFA EURO 2012</t>
  </si>
  <si>
    <t>UEFA EURO 2012 распоред</t>
  </si>
  <si>
    <t>UEFA EURO 2012 Список турнірів</t>
  </si>
  <si>
    <t>UEFA AVRO 2012 Yarışmasının Cədvəli</t>
  </si>
  <si>
    <t>УЕФА ЕВРО 2012 Мусобака жадвали</t>
  </si>
  <si>
    <t>UEFA Avrupa 2012 Şampiyonası Programı</t>
  </si>
  <si>
    <t>Lịch thi đấu VCK Euro 2012</t>
  </si>
  <si>
    <t>УЕФА Евро 2012 турнир кестесі</t>
  </si>
  <si>
    <t>UEFA EURO 2012 ჩემპიონატის ცხრილი</t>
  </si>
  <si>
    <t>לוח משחקים יורו 2012</t>
  </si>
  <si>
    <t>جدول بطولة أمم أوروبا 2012</t>
  </si>
  <si>
    <t>برنامه تورنمنت يورو 2012 يوفا</t>
  </si>
  <si>
    <t>Champion 2012</t>
  </si>
  <si>
    <t>Europameister 2012</t>
  </si>
  <si>
    <t>Campione 2012</t>
  </si>
  <si>
    <t>Mistrz Europy 2012</t>
  </si>
  <si>
    <t>2012 metų čempionas</t>
  </si>
  <si>
    <t>Sigurvegari 2012</t>
  </si>
  <si>
    <t>2012-as Európa Bajnok</t>
  </si>
  <si>
    <t>Campioana EURO 2012</t>
  </si>
  <si>
    <t>Kampioen 2012</t>
  </si>
  <si>
    <t>Mester 2012</t>
  </si>
  <si>
    <t>Mistr Evropy 2012</t>
  </si>
  <si>
    <t>Zmagovalec 2012</t>
  </si>
  <si>
    <t>Majster Európy 2012</t>
  </si>
  <si>
    <t>Europamästare 2012</t>
  </si>
  <si>
    <t>Europamester 2012</t>
  </si>
  <si>
    <t>Pobjednik EURO 2012</t>
  </si>
  <si>
    <t>Европски шампион 2012</t>
  </si>
  <si>
    <t>Kampioni 2012</t>
  </si>
  <si>
    <t>Pobjednik 2012</t>
  </si>
  <si>
    <t>Шампион 2012</t>
  </si>
  <si>
    <t>Πρωταθλητης 2012</t>
  </si>
  <si>
    <t>Чемпион Европы 2012</t>
  </si>
  <si>
    <t>Чемпіон 2012</t>
  </si>
  <si>
    <t>Qalib 2012</t>
  </si>
  <si>
    <t>Чемпион 2012</t>
  </si>
  <si>
    <t>2012 Şampiyonu</t>
  </si>
  <si>
    <t>VÔ ĐỊCH CHÂU ÂU 2012</t>
  </si>
  <si>
    <t>2012 Чемпионы</t>
  </si>
  <si>
    <t>2012 წლის ჩემპიონი</t>
  </si>
  <si>
    <t>אלופת 2012</t>
  </si>
  <si>
    <t>بطولة 2012</t>
  </si>
  <si>
    <t>قهرمان 2012</t>
  </si>
  <si>
    <t>Denmark</t>
  </si>
  <si>
    <t>England</t>
  </si>
  <si>
    <t>Ukraine</t>
  </si>
  <si>
    <t>Third-Place Play-Off</t>
  </si>
  <si>
    <t>Danemark</t>
  </si>
  <si>
    <t>Dänemark</t>
  </si>
  <si>
    <t>Dinamarca</t>
  </si>
  <si>
    <t>Danimarca</t>
  </si>
  <si>
    <t>Dania</t>
  </si>
  <si>
    <t>Danija</t>
  </si>
  <si>
    <t>Danmörk</t>
  </si>
  <si>
    <t>Dánia</t>
  </si>
  <si>
    <t>Danemarca</t>
  </si>
  <si>
    <t>Denemarken</t>
  </si>
  <si>
    <t>Danmark</t>
  </si>
  <si>
    <t>Dánsko</t>
  </si>
  <si>
    <t>Danska</t>
  </si>
  <si>
    <t>Danimarka</t>
  </si>
  <si>
    <t>Дания</t>
  </si>
  <si>
    <t>Δανία</t>
  </si>
  <si>
    <t>Данска</t>
  </si>
  <si>
    <t>Данія</t>
  </si>
  <si>
    <t>Daniya</t>
  </si>
  <si>
    <t>Đan Mạch</t>
  </si>
  <si>
    <t>დანია</t>
  </si>
  <si>
    <t>דנמרק</t>
  </si>
  <si>
    <t>الدينمارك</t>
  </si>
  <si>
    <t>دانمارک</t>
  </si>
  <si>
    <t>Angleterre</t>
  </si>
  <si>
    <t>Inglaterra</t>
  </si>
  <si>
    <t>Inghilterra</t>
  </si>
  <si>
    <t>Anglia</t>
  </si>
  <si>
    <t>Anglija</t>
  </si>
  <si>
    <t>Engeland</t>
  </si>
  <si>
    <t>Anglie</t>
  </si>
  <si>
    <t>Anglicko</t>
  </si>
  <si>
    <t>Engleska</t>
  </si>
  <si>
    <t>Англия</t>
  </si>
  <si>
    <t>Αγγλία</t>
  </si>
  <si>
    <t>Англија</t>
  </si>
  <si>
    <t>Англія</t>
  </si>
  <si>
    <t>İngiltərə</t>
  </si>
  <si>
    <t>Angliya</t>
  </si>
  <si>
    <t>İngiltere</t>
  </si>
  <si>
    <t>Anh</t>
  </si>
  <si>
    <t>ინგლისი</t>
  </si>
  <si>
    <t>אנגליה</t>
  </si>
  <si>
    <t>انكلترا</t>
  </si>
  <si>
    <t>انگلیس</t>
  </si>
  <si>
    <t>Frantsiya</t>
  </si>
  <si>
    <t>Njemacka</t>
  </si>
  <si>
    <t>Germaniya</t>
  </si>
  <si>
    <t>Grcka</t>
  </si>
  <si>
    <t>Gretsiya</t>
  </si>
  <si>
    <t>Hi Lạp</t>
  </si>
  <si>
    <t>ITALIA</t>
  </si>
  <si>
    <t>Italiya</t>
  </si>
  <si>
    <t>Ý</t>
  </si>
  <si>
    <t>Países Bajos</t>
  </si>
  <si>
    <t>Nyderlandai</t>
  </si>
  <si>
    <t>Нидерланды</t>
  </si>
  <si>
    <t>Нідерланди</t>
  </si>
  <si>
    <t>Gollandiya</t>
  </si>
  <si>
    <t>Πορτογαλία</t>
  </si>
  <si>
    <t>Portugaliya</t>
  </si>
  <si>
    <t>پرتقال</t>
  </si>
  <si>
    <t>Spanija</t>
  </si>
  <si>
    <t>Ispaniya</t>
  </si>
  <si>
    <t>اسبانيا</t>
  </si>
  <si>
    <t>GY</t>
  </si>
  <si>
    <t>Y</t>
  </si>
  <si>
    <t>მოგ</t>
  </si>
  <si>
    <t>נצחונות</t>
  </si>
  <si>
    <t>فاز</t>
  </si>
  <si>
    <t xml:space="preserve">Η </t>
  </si>
  <si>
    <t>წაგ</t>
  </si>
  <si>
    <t>הפסדים</t>
  </si>
  <si>
    <t>خسر</t>
  </si>
  <si>
    <t>PTS</t>
  </si>
  <si>
    <t>PKT</t>
  </si>
  <si>
    <t>Tšk</t>
  </si>
  <si>
    <t>PNT</t>
  </si>
  <si>
    <t>BOD</t>
  </si>
  <si>
    <t>PIK</t>
  </si>
  <si>
    <t>ΒΘ</t>
  </si>
  <si>
    <t>Б</t>
  </si>
  <si>
    <t>ОЧКИ</t>
  </si>
  <si>
    <t>נקודות</t>
  </si>
  <si>
    <t>النقاط</t>
  </si>
  <si>
    <t>Όμιλος</t>
  </si>
  <si>
    <t>Guruh</t>
  </si>
  <si>
    <t>Match pour la troisième place</t>
  </si>
  <si>
    <t>Spiel um den dritten Platz</t>
  </si>
  <si>
    <t>Tercer puesto</t>
  </si>
  <si>
    <t>Finale 3°- 4° posto</t>
  </si>
  <si>
    <t>3º/4º lugar</t>
  </si>
  <si>
    <t>Mecz o trzecie miejsce</t>
  </si>
  <si>
    <t>Rungtynės dėl Trečios Vietos</t>
  </si>
  <si>
    <t>Leikur um 3.sæti</t>
  </si>
  <si>
    <t>Bronzmeccs</t>
  </si>
  <si>
    <t>Finala mica</t>
  </si>
  <si>
    <t>Derde en vierde plaats</t>
  </si>
  <si>
    <t>Tredjeplads Kamp</t>
  </si>
  <si>
    <t>Zápas o 3.místo</t>
  </si>
  <si>
    <t>Za tretje mesto</t>
  </si>
  <si>
    <t xml:space="preserve">Zápas o 3. miesto </t>
  </si>
  <si>
    <t>Match om tredje pris</t>
  </si>
  <si>
    <t>Za treće mjesto</t>
  </si>
  <si>
    <t>Takimi për vendin e tretë</t>
  </si>
  <si>
    <t>Utakmica za trece mjesto</t>
  </si>
  <si>
    <t>Мач за трето място</t>
  </si>
  <si>
    <t>Μικρός Τελικός</t>
  </si>
  <si>
    <t>Натпревар за трето место</t>
  </si>
  <si>
    <t>Матч за Третье Место</t>
  </si>
  <si>
    <t>Матч за третє місце</t>
  </si>
  <si>
    <t>Üçüncü Yer Uğrunda</t>
  </si>
  <si>
    <t>3-o'rin uchun o'yin</t>
  </si>
  <si>
    <t>Үшінші орынға талас</t>
  </si>
  <si>
    <t>მესამე ადგილი</t>
  </si>
  <si>
    <t>מקום 3-4</t>
  </si>
  <si>
    <t>تحديد المركزين الثالث والرابع</t>
  </si>
  <si>
    <t>رده بندی</t>
  </si>
  <si>
    <t>FINALA</t>
  </si>
  <si>
    <t>Chung Kết</t>
  </si>
  <si>
    <t>المباراة النهائية</t>
  </si>
  <si>
    <t>Janv</t>
  </si>
  <si>
    <t>Ene</t>
  </si>
  <si>
    <t>Saus</t>
  </si>
  <si>
    <t>Ιαν</t>
  </si>
  <si>
    <t>Oca</t>
  </si>
  <si>
    <t>იან</t>
  </si>
  <si>
    <t>ינואר</t>
  </si>
  <si>
    <t>كانون ثاني</t>
  </si>
  <si>
    <t>زانویه</t>
  </si>
  <si>
    <t>Févr</t>
  </si>
  <si>
    <t>Vel</t>
  </si>
  <si>
    <t>Shk</t>
  </si>
  <si>
    <t>Φεβ</t>
  </si>
  <si>
    <t>Şub</t>
  </si>
  <si>
    <t>თებ</t>
  </si>
  <si>
    <t>פברואר</t>
  </si>
  <si>
    <t>شباط</t>
  </si>
  <si>
    <t>فوریه</t>
  </si>
  <si>
    <t>Mrz</t>
  </si>
  <si>
    <t>Mrt</t>
  </si>
  <si>
    <t>mar</t>
  </si>
  <si>
    <t>Μαρ</t>
  </si>
  <si>
    <t>მარ</t>
  </si>
  <si>
    <t>آذار</t>
  </si>
  <si>
    <t>Avr</t>
  </si>
  <si>
    <t>Pri</t>
  </si>
  <si>
    <t>Απρ</t>
  </si>
  <si>
    <t>Квіт</t>
  </si>
  <si>
    <t>Nis</t>
  </si>
  <si>
    <t>აპრ</t>
  </si>
  <si>
    <t>אפריל</t>
  </si>
  <si>
    <t>نيسان</t>
  </si>
  <si>
    <t>آوریل</t>
  </si>
  <si>
    <t>maj</t>
  </si>
  <si>
    <t>Μαϊ</t>
  </si>
  <si>
    <t>Трав</t>
  </si>
  <si>
    <t>მაი</t>
  </si>
  <si>
    <t>أياد</t>
  </si>
  <si>
    <t>می</t>
  </si>
  <si>
    <t>Cze</t>
  </si>
  <si>
    <t>Birž</t>
  </si>
  <si>
    <t>Qer</t>
  </si>
  <si>
    <t>Ιουν</t>
  </si>
  <si>
    <t>Черв</t>
  </si>
  <si>
    <t>Iyun</t>
  </si>
  <si>
    <t>Haz</t>
  </si>
  <si>
    <t>ივნ</t>
  </si>
  <si>
    <t>יוני</t>
  </si>
  <si>
    <t>حزيران</t>
  </si>
  <si>
    <t>Čec</t>
  </si>
  <si>
    <t>Kor</t>
  </si>
  <si>
    <t>Ιουλ</t>
  </si>
  <si>
    <t>Iyul</t>
  </si>
  <si>
    <t>Tem</t>
  </si>
  <si>
    <t>ივლ</t>
  </si>
  <si>
    <t>יולי</t>
  </si>
  <si>
    <t>تموز</t>
  </si>
  <si>
    <t>ژولای</t>
  </si>
  <si>
    <t>Août</t>
  </si>
  <si>
    <t>Rugp</t>
  </si>
  <si>
    <t>Gus</t>
  </si>
  <si>
    <t>Αυγ</t>
  </si>
  <si>
    <t>Серп</t>
  </si>
  <si>
    <t>Avq</t>
  </si>
  <si>
    <t>Ağu</t>
  </si>
  <si>
    <t>აგვ</t>
  </si>
  <si>
    <t>אוגוסט</t>
  </si>
  <si>
    <t>آب</t>
  </si>
  <si>
    <t>اگوست</t>
  </si>
  <si>
    <t>Sept</t>
  </si>
  <si>
    <t>Rugs</t>
  </si>
  <si>
    <t>Szep</t>
  </si>
  <si>
    <t>Shta</t>
  </si>
  <si>
    <t>Σεπ</t>
  </si>
  <si>
    <t>Eyl</t>
  </si>
  <si>
    <t>სექ</t>
  </si>
  <si>
    <t>ספטמבר</t>
  </si>
  <si>
    <t>أيلول</t>
  </si>
  <si>
    <t>Paź</t>
  </si>
  <si>
    <t>Tet</t>
  </si>
  <si>
    <t>Октомври</t>
  </si>
  <si>
    <t>Οκτ</t>
  </si>
  <si>
    <t>Жовт</t>
  </si>
  <si>
    <t>Eki</t>
  </si>
  <si>
    <t>ოქტ</t>
  </si>
  <si>
    <t>אוקטובר</t>
  </si>
  <si>
    <t>تشرين أول</t>
  </si>
  <si>
    <t>اکتبر</t>
  </si>
  <si>
    <t>Lapk</t>
  </si>
  <si>
    <t>Noi</t>
  </si>
  <si>
    <t>Nën</t>
  </si>
  <si>
    <t>Νοε</t>
  </si>
  <si>
    <t>Лист</t>
  </si>
  <si>
    <t>Kas</t>
  </si>
  <si>
    <t>ნოე</t>
  </si>
  <si>
    <t>נובמבר</t>
  </si>
  <si>
    <t>تشرين ثاني</t>
  </si>
  <si>
    <t>Déc</t>
  </si>
  <si>
    <t>Gruo</t>
  </si>
  <si>
    <t>Dhj</t>
  </si>
  <si>
    <t>Δεκ</t>
  </si>
  <si>
    <t>Груд</t>
  </si>
  <si>
    <t>Ara</t>
  </si>
  <si>
    <t>დეკ</t>
  </si>
  <si>
    <t>דצמבר</t>
  </si>
  <si>
    <t>كانون أول</t>
  </si>
  <si>
    <t>F-A</t>
  </si>
  <si>
    <t>Date</t>
  </si>
  <si>
    <t>Warsaw (POL)</t>
  </si>
  <si>
    <t>Wroclaw (POL)</t>
  </si>
  <si>
    <t>Kharkiv (UKR)</t>
  </si>
  <si>
    <t>Lviv (UKR)</t>
  </si>
  <si>
    <t>Gdansk (POL)</t>
  </si>
  <si>
    <t>Poznan (POL)</t>
  </si>
  <si>
    <t>Donetsk (UKR)</t>
  </si>
  <si>
    <t>Kyiv (UKR)</t>
  </si>
  <si>
    <t>UEFA Rank</t>
  </si>
  <si>
    <t>Ucrania</t>
  </si>
  <si>
    <t>Ucraina</t>
  </si>
  <si>
    <t>Ucrânia</t>
  </si>
  <si>
    <t>Ukraina</t>
  </si>
  <si>
    <t>Úkraína</t>
  </si>
  <si>
    <t>Republic of Ireland</t>
  </si>
  <si>
    <t>Írland</t>
  </si>
  <si>
    <t>Airijos Respublika</t>
  </si>
  <si>
    <t>Irlandia</t>
  </si>
  <si>
    <t>República da Irlanda</t>
  </si>
  <si>
    <t>Repubblica d'Irlanda</t>
  </si>
  <si>
    <t>República de Irlanda</t>
  </si>
  <si>
    <t>République d'Irlande</t>
  </si>
  <si>
    <t>Köztársaság, Írország</t>
  </si>
  <si>
    <t>Ukrajna</t>
  </si>
  <si>
    <t>Republica Irlanda</t>
  </si>
  <si>
    <t>Irland</t>
  </si>
  <si>
    <t>Irská republika</t>
  </si>
  <si>
    <t>Ukrajina</t>
  </si>
  <si>
    <t>Republika Irska</t>
  </si>
  <si>
    <t>Írska republika</t>
  </si>
  <si>
    <t>Republikken Irland</t>
  </si>
  <si>
    <t xml:space="preserve">Ukraina </t>
  </si>
  <si>
    <t>Република Ирска</t>
  </si>
  <si>
    <t>Украјина</t>
  </si>
  <si>
    <t>Republika e Irlandës</t>
  </si>
  <si>
    <t>Ukrainë</t>
  </si>
  <si>
    <t>Република Ирландия</t>
  </si>
  <si>
    <t>Украйна</t>
  </si>
  <si>
    <t>Δημοκρατία της Ιρλανδίας</t>
  </si>
  <si>
    <t>Ουκρανία</t>
  </si>
  <si>
    <t>Украина</t>
  </si>
  <si>
    <t>Республика Ирландия</t>
  </si>
  <si>
    <t>Республіка Ірландія</t>
  </si>
  <si>
    <t>Україна</t>
  </si>
  <si>
    <t>İrlandiya Respublikası</t>
  </si>
  <si>
    <t>Ukrayna</t>
  </si>
  <si>
    <t>İrlanda Cumhuriyeti</t>
  </si>
  <si>
    <t>Cộng hòa Ireland</t>
  </si>
  <si>
    <t>ირლანდიის რესპუბლიკის</t>
  </si>
  <si>
    <t>უკრაინის</t>
  </si>
  <si>
    <t>רעפּובליק פון ירעלאַנד</t>
  </si>
  <si>
    <t>אוקריינא</t>
  </si>
  <si>
    <t>جمهورية ايرلندا</t>
  </si>
  <si>
    <t>أوكرانيا</t>
  </si>
  <si>
    <t>جمهوری ایرلند</t>
  </si>
  <si>
    <t>اوکراین</t>
  </si>
  <si>
    <t>Republiek Ierland</t>
  </si>
  <si>
    <t>Oekraïne</t>
  </si>
  <si>
    <t>Irska</t>
  </si>
  <si>
    <t>EURO 2012 Tickets</t>
  </si>
  <si>
    <t>Cut MP3 Files Online</t>
  </si>
  <si>
    <t>Bet For FREE</t>
  </si>
  <si>
    <t>Version: May 13, 2012</t>
  </si>
  <si>
    <t>Youtube to MP3 Online Converter</t>
  </si>
</sst>
</file>

<file path=xl/styles.xml><?xml version="1.0" encoding="utf-8"?>
<styleSheet xmlns="http://schemas.openxmlformats.org/spreadsheetml/2006/main">
  <numFmts count="1">
    <numFmt numFmtId="164" formatCode=";;;"/>
  </numFmts>
  <fonts count="20">
    <font>
      <sz val="8"/>
      <name val="Arial Cyr"/>
      <charset val="204"/>
    </font>
    <font>
      <sz val="8"/>
      <name val="Arial Cyr"/>
      <charset val="204"/>
    </font>
    <font>
      <sz val="10"/>
      <name val="Tahoma"/>
      <family val="2"/>
      <charset val="204"/>
    </font>
    <font>
      <b/>
      <sz val="8"/>
      <name val="Arial Cyr"/>
      <charset val="204"/>
    </font>
    <font>
      <sz val="8"/>
      <name val="Tahoma"/>
      <family val="2"/>
    </font>
    <font>
      <sz val="10"/>
      <name val="Arial Cyr"/>
      <charset val="204"/>
    </font>
    <font>
      <b/>
      <sz val="12"/>
      <name val="Arial CYR"/>
    </font>
    <font>
      <b/>
      <sz val="8"/>
      <name val="Tahoma"/>
      <family val="2"/>
      <charset val="204"/>
    </font>
    <font>
      <sz val="8"/>
      <name val="Arial Cyr"/>
      <charset val="204"/>
    </font>
    <font>
      <sz val="8"/>
      <name val="Calibri"/>
      <family val="2"/>
      <charset val="204"/>
    </font>
    <font>
      <sz val="16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  <font>
      <sz val="16"/>
      <color indexed="62"/>
      <name val="Calibri"/>
      <family val="2"/>
      <charset val="204"/>
    </font>
    <font>
      <b/>
      <sz val="10"/>
      <name val="Calibri"/>
      <family val="2"/>
      <charset val="204"/>
    </font>
    <font>
      <u/>
      <sz val="8"/>
      <color indexed="62"/>
      <name val="Calibri"/>
      <family val="2"/>
      <charset val="204"/>
    </font>
    <font>
      <sz val="16"/>
      <color indexed="18"/>
      <name val="Calibri"/>
      <family val="2"/>
      <charset val="204"/>
    </font>
    <font>
      <sz val="24"/>
      <name val="Calibri"/>
      <family val="2"/>
      <charset val="204"/>
    </font>
    <font>
      <sz val="10"/>
      <color indexed="9"/>
      <name val="Calibri"/>
      <family val="2"/>
      <charset val="204"/>
    </font>
    <font>
      <u/>
      <sz val="8"/>
      <color theme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CC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2"/>
      </left>
      <right/>
      <top style="thin">
        <color indexed="62"/>
      </top>
      <bottom/>
      <diagonal/>
    </border>
    <border>
      <left/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/>
      <top/>
      <bottom/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 style="hair">
        <color indexed="62"/>
      </right>
      <top style="thin">
        <color indexed="62"/>
      </top>
      <bottom style="hair">
        <color indexed="62"/>
      </bottom>
      <diagonal/>
    </border>
    <border>
      <left style="hair">
        <color indexed="62"/>
      </left>
      <right style="hair">
        <color indexed="62"/>
      </right>
      <top style="thin">
        <color indexed="62"/>
      </top>
      <bottom style="hair">
        <color indexed="62"/>
      </bottom>
      <diagonal/>
    </border>
    <border>
      <left style="thin">
        <color indexed="62"/>
      </left>
      <right/>
      <top style="thin">
        <color indexed="62"/>
      </top>
      <bottom style="hair">
        <color indexed="62"/>
      </bottom>
      <diagonal/>
    </border>
    <border>
      <left/>
      <right/>
      <top style="thin">
        <color indexed="62"/>
      </top>
      <bottom style="hair">
        <color indexed="62"/>
      </bottom>
      <diagonal/>
    </border>
    <border>
      <left/>
      <right style="thin">
        <color indexed="62"/>
      </right>
      <top style="thin">
        <color indexed="62"/>
      </top>
      <bottom style="hair">
        <color indexed="62"/>
      </bottom>
      <diagonal/>
    </border>
    <border>
      <left style="thin">
        <color indexed="62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 style="hair">
        <color indexed="62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 style="thin">
        <color indexed="62"/>
      </left>
      <right/>
      <top style="hair">
        <color indexed="62"/>
      </top>
      <bottom style="hair">
        <color indexed="62"/>
      </bottom>
      <diagonal/>
    </border>
    <border>
      <left/>
      <right/>
      <top style="hair">
        <color indexed="62"/>
      </top>
      <bottom style="hair">
        <color indexed="62"/>
      </bottom>
      <diagonal/>
    </border>
    <border>
      <left/>
      <right style="thin">
        <color indexed="62"/>
      </right>
      <top style="hair">
        <color indexed="62"/>
      </top>
      <bottom style="hair">
        <color indexed="62"/>
      </bottom>
      <diagonal/>
    </border>
    <border>
      <left style="thin">
        <color indexed="62"/>
      </left>
      <right/>
      <top style="hair">
        <color indexed="62"/>
      </top>
      <bottom style="thin">
        <color indexed="62"/>
      </bottom>
      <diagonal/>
    </border>
    <border>
      <left/>
      <right/>
      <top style="hair">
        <color indexed="62"/>
      </top>
      <bottom style="thin">
        <color indexed="62"/>
      </bottom>
      <diagonal/>
    </border>
    <border>
      <left/>
      <right style="thin">
        <color indexed="62"/>
      </right>
      <top style="hair">
        <color indexed="62"/>
      </top>
      <bottom style="thin">
        <color indexed="62"/>
      </bottom>
      <diagonal/>
    </border>
    <border>
      <left style="thin">
        <color indexed="62"/>
      </left>
      <right style="hair">
        <color indexed="62"/>
      </right>
      <top style="hair">
        <color indexed="62"/>
      </top>
      <bottom style="thin">
        <color indexed="62"/>
      </bottom>
      <diagonal/>
    </border>
    <border>
      <left style="hair">
        <color indexed="62"/>
      </left>
      <right style="hair">
        <color indexed="62"/>
      </right>
      <top style="hair">
        <color indexed="62"/>
      </top>
      <bottom style="thin">
        <color indexed="62"/>
      </bottom>
      <diagonal/>
    </border>
    <border>
      <left/>
      <right/>
      <top/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 style="thin">
        <color indexed="62"/>
      </left>
      <right/>
      <top/>
      <bottom style="thin">
        <color indexed="62"/>
      </bottom>
      <diagonal/>
    </border>
    <border>
      <left style="thin">
        <color indexed="62"/>
      </left>
      <right style="hair">
        <color indexed="62"/>
      </right>
      <top style="thin">
        <color indexed="62"/>
      </top>
      <bottom style="thin">
        <color indexed="62"/>
      </bottom>
      <diagonal/>
    </border>
    <border>
      <left style="hair">
        <color indexed="62"/>
      </left>
      <right style="hair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6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2"/>
      </bottom>
      <diagonal/>
    </border>
    <border>
      <left style="thin">
        <color indexed="22"/>
      </left>
      <right style="thin">
        <color indexed="62"/>
      </right>
      <top style="thin">
        <color indexed="62"/>
      </top>
      <bottom style="thin">
        <color indexed="22"/>
      </bottom>
      <diagonal/>
    </border>
    <border>
      <left style="thin">
        <color indexed="22"/>
      </left>
      <right style="thin">
        <color indexed="6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2"/>
      </right>
      <top style="thin">
        <color indexed="22"/>
      </top>
      <bottom style="thin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62"/>
      </top>
      <bottom style="thin">
        <color indexed="62"/>
      </bottom>
      <diagonal/>
    </border>
    <border>
      <left style="thin">
        <color indexed="2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 style="hair">
        <color indexed="62"/>
      </left>
      <right style="thin">
        <color indexed="62"/>
      </right>
      <top style="hair">
        <color indexed="62"/>
      </top>
      <bottom style="hair">
        <color indexed="62"/>
      </bottom>
      <diagonal/>
    </border>
    <border>
      <left style="hair">
        <color indexed="62"/>
      </left>
      <right style="thin">
        <color indexed="62"/>
      </right>
      <top style="hair">
        <color indexed="62"/>
      </top>
      <bottom style="thin">
        <color indexed="62"/>
      </bottom>
      <diagonal/>
    </border>
    <border>
      <left style="hair">
        <color indexed="62"/>
      </left>
      <right style="thin">
        <color indexed="62"/>
      </right>
      <top style="thin">
        <color indexed="62"/>
      </top>
      <bottom style="hair">
        <color indexed="62"/>
      </bottom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0" fontId="8" fillId="7" borderId="53" applyNumberFormat="0" applyFont="0" applyAlignment="0" applyProtection="0"/>
  </cellStyleXfs>
  <cellXfs count="134">
    <xf numFmtId="0" fontId="0" fillId="0" borderId="0" xfId="0"/>
    <xf numFmtId="0" fontId="3" fillId="2" borderId="0" xfId="0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2" fillId="2" borderId="2" xfId="0" applyFont="1" applyFill="1" applyBorder="1" applyAlignment="1" applyProtection="1">
      <alignment horizontal="right" vertical="center"/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horizontal="left"/>
      <protection hidden="1"/>
    </xf>
    <xf numFmtId="0" fontId="6" fillId="2" borderId="3" xfId="0" applyFont="1" applyFill="1" applyBorder="1" applyAlignment="1" applyProtection="1">
      <alignment horizontal="left" indent="1"/>
      <protection hidden="1"/>
    </xf>
    <xf numFmtId="0" fontId="5" fillId="2" borderId="4" xfId="0" applyFont="1" applyFill="1" applyBorder="1" applyAlignment="1" applyProtection="1">
      <alignment horizontal="left"/>
      <protection hidden="1"/>
    </xf>
    <xf numFmtId="0" fontId="5" fillId="2" borderId="5" xfId="0" applyFont="1" applyFill="1" applyBorder="1" applyProtection="1">
      <protection hidden="1"/>
    </xf>
    <xf numFmtId="0" fontId="5" fillId="2" borderId="2" xfId="0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left"/>
      <protection hidden="1"/>
    </xf>
    <xf numFmtId="0" fontId="5" fillId="2" borderId="6" xfId="0" applyFont="1" applyFill="1" applyBorder="1" applyProtection="1">
      <protection hidden="1"/>
    </xf>
    <xf numFmtId="0" fontId="5" fillId="2" borderId="7" xfId="0" applyFont="1" applyFill="1" applyBorder="1" applyProtection="1">
      <protection hidden="1"/>
    </xf>
    <xf numFmtId="0" fontId="5" fillId="2" borderId="8" xfId="0" applyFont="1" applyFill="1" applyBorder="1" applyAlignment="1" applyProtection="1">
      <alignment horizontal="left"/>
      <protection hidden="1"/>
    </xf>
    <xf numFmtId="0" fontId="5" fillId="2" borderId="9" xfId="0" applyFont="1" applyFill="1" applyBorder="1" applyProtection="1">
      <protection hidden="1"/>
    </xf>
    <xf numFmtId="0" fontId="2" fillId="3" borderId="10" xfId="0" applyFont="1" applyFill="1" applyBorder="1" applyAlignment="1" applyProtection="1">
      <alignment horizontal="left" vertical="center" indent="1"/>
      <protection locked="0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7" fillId="4" borderId="11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/>
    </xf>
    <xf numFmtId="164" fontId="4" fillId="0" borderId="0" xfId="0" applyNumberFormat="1" applyFont="1" applyAlignment="1" applyProtection="1">
      <alignment horizontal="left" vertical="center"/>
      <protection hidden="1"/>
    </xf>
    <xf numFmtId="164" fontId="4" fillId="0" borderId="0" xfId="0" quotePrefix="1" applyNumberFormat="1" applyFont="1" applyAlignment="1" applyProtection="1">
      <alignment horizontal="left" vertical="center"/>
      <protection hidden="1"/>
    </xf>
    <xf numFmtId="164" fontId="0" fillId="0" borderId="0" xfId="0" applyNumberFormat="1" applyFont="1" applyAlignment="1" applyProtection="1">
      <alignment horizontal="left"/>
      <protection hidden="1"/>
    </xf>
    <xf numFmtId="164" fontId="0" fillId="0" borderId="0" xfId="0" applyNumberFormat="1" applyFont="1" applyProtection="1">
      <protection hidden="1"/>
    </xf>
    <xf numFmtId="0" fontId="11" fillId="0" borderId="0" xfId="0" applyNumberFormat="1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10" fillId="5" borderId="12" xfId="0" applyFont="1" applyFill="1" applyBorder="1" applyAlignment="1" applyProtection="1">
      <alignment horizontal="center" vertical="center"/>
      <protection hidden="1"/>
    </xf>
    <xf numFmtId="0" fontId="10" fillId="5" borderId="13" xfId="0" applyFont="1" applyFill="1" applyBorder="1" applyAlignment="1" applyProtection="1">
      <alignment horizontal="center" vertical="center"/>
      <protection hidden="1"/>
    </xf>
    <xf numFmtId="0" fontId="10" fillId="5" borderId="14" xfId="0" applyFont="1" applyFill="1" applyBorder="1" applyAlignment="1" applyProtection="1">
      <alignment horizontal="center" vertical="center"/>
      <protection hidden="1"/>
    </xf>
    <xf numFmtId="0" fontId="10" fillId="5" borderId="15" xfId="0" applyFont="1" applyFill="1" applyBorder="1" applyAlignment="1" applyProtection="1">
      <alignment horizontal="center" vertical="center"/>
      <protection hidden="1"/>
    </xf>
    <xf numFmtId="0" fontId="10" fillId="5" borderId="0" xfId="0" applyFont="1" applyFill="1" applyBorder="1" applyAlignment="1" applyProtection="1">
      <alignment horizontal="center" vertical="center"/>
      <protection hidden="1"/>
    </xf>
    <xf numFmtId="0" fontId="10" fillId="5" borderId="16" xfId="0" applyFont="1" applyFill="1" applyBorder="1" applyAlignment="1" applyProtection="1">
      <alignment horizontal="center" vertical="center"/>
      <protection hidden="1"/>
    </xf>
    <xf numFmtId="0" fontId="11" fillId="0" borderId="17" xfId="0" applyFont="1" applyBorder="1" applyAlignment="1" applyProtection="1">
      <alignment horizontal="center" vertical="center"/>
      <protection hidden="1"/>
    </xf>
    <xf numFmtId="0" fontId="11" fillId="0" borderId="18" xfId="0" applyFont="1" applyBorder="1" applyAlignment="1" applyProtection="1">
      <alignment horizontal="center" vertical="center"/>
      <protection hidden="1"/>
    </xf>
    <xf numFmtId="0" fontId="9" fillId="0" borderId="18" xfId="0" applyFont="1" applyBorder="1" applyAlignment="1" applyProtection="1">
      <alignment horizontal="center" vertical="center"/>
      <protection hidden="1"/>
    </xf>
    <xf numFmtId="0" fontId="11" fillId="0" borderId="18" xfId="0" applyFont="1" applyBorder="1" applyAlignment="1" applyProtection="1">
      <alignment horizontal="right" vertical="center" indent="2"/>
      <protection hidden="1"/>
    </xf>
    <xf numFmtId="0" fontId="11" fillId="0" borderId="18" xfId="0" applyFont="1" applyBorder="1" applyAlignment="1" applyProtection="1">
      <alignment horizontal="left" vertical="center" indent="2"/>
      <protection hidden="1"/>
    </xf>
    <xf numFmtId="0" fontId="11" fillId="0" borderId="19" xfId="0" applyFont="1" applyBorder="1" applyAlignment="1" applyProtection="1">
      <alignment horizontal="left" vertical="center"/>
      <protection hidden="1"/>
    </xf>
    <xf numFmtId="0" fontId="11" fillId="0" borderId="20" xfId="0" applyFont="1" applyBorder="1" applyAlignment="1" applyProtection="1">
      <alignment horizontal="center" vertical="center"/>
      <protection hidden="1"/>
    </xf>
    <xf numFmtId="0" fontId="11" fillId="0" borderId="21" xfId="0" applyFont="1" applyBorder="1" applyAlignment="1" applyProtection="1">
      <alignment horizontal="center" vertical="center"/>
      <protection hidden="1"/>
    </xf>
    <xf numFmtId="0" fontId="11" fillId="0" borderId="22" xfId="0" applyFont="1" applyBorder="1" applyAlignment="1" applyProtection="1">
      <alignment horizontal="center" vertical="center"/>
      <protection hidden="1"/>
    </xf>
    <xf numFmtId="0" fontId="11" fillId="0" borderId="23" xfId="0" applyFont="1" applyBorder="1" applyAlignment="1" applyProtection="1">
      <alignment horizontal="center" vertical="center"/>
      <protection hidden="1"/>
    </xf>
    <xf numFmtId="0" fontId="9" fillId="0" borderId="23" xfId="0" applyFont="1" applyBorder="1" applyAlignment="1" applyProtection="1">
      <alignment horizontal="center" vertical="center"/>
      <protection hidden="1"/>
    </xf>
    <xf numFmtId="0" fontId="11" fillId="0" borderId="23" xfId="0" applyFont="1" applyBorder="1" applyAlignment="1" applyProtection="1">
      <alignment horizontal="right" vertical="center" indent="2"/>
      <protection hidden="1"/>
    </xf>
    <xf numFmtId="0" fontId="11" fillId="0" borderId="23" xfId="0" applyFont="1" applyBorder="1" applyAlignment="1" applyProtection="1">
      <alignment horizontal="left" vertical="center" indent="2"/>
      <protection hidden="1"/>
    </xf>
    <xf numFmtId="0" fontId="11" fillId="0" borderId="24" xfId="0" applyFont="1" applyBorder="1" applyAlignment="1" applyProtection="1">
      <alignment horizontal="left" vertical="center"/>
      <protection hidden="1"/>
    </xf>
    <xf numFmtId="0" fontId="11" fillId="0" borderId="25" xfId="0" applyFont="1" applyBorder="1" applyAlignment="1" applyProtection="1">
      <alignment horizontal="center" vertical="center"/>
      <protection hidden="1"/>
    </xf>
    <xf numFmtId="0" fontId="11" fillId="0" borderId="26" xfId="0" applyFont="1" applyBorder="1" applyAlignment="1" applyProtection="1">
      <alignment horizontal="center" vertical="center"/>
      <protection hidden="1"/>
    </xf>
    <xf numFmtId="0" fontId="11" fillId="0" borderId="27" xfId="0" applyFont="1" applyBorder="1" applyAlignment="1" applyProtection="1">
      <alignment horizontal="left" vertical="center"/>
      <protection hidden="1"/>
    </xf>
    <xf numFmtId="0" fontId="11" fillId="0" borderId="28" xfId="0" applyFont="1" applyBorder="1" applyAlignment="1" applyProtection="1">
      <alignment horizontal="center" vertical="center"/>
      <protection hidden="1"/>
    </xf>
    <xf numFmtId="0" fontId="11" fillId="0" borderId="29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1" fillId="0" borderId="30" xfId="0" applyFont="1" applyBorder="1" applyAlignment="1" applyProtection="1">
      <alignment horizontal="center" vertical="center"/>
      <protection hidden="1"/>
    </xf>
    <xf numFmtId="0" fontId="11" fillId="0" borderId="31" xfId="0" applyFont="1" applyBorder="1" applyAlignment="1" applyProtection="1">
      <alignment horizontal="center" vertical="center"/>
      <protection hidden="1"/>
    </xf>
    <xf numFmtId="0" fontId="9" fillId="0" borderId="31" xfId="0" applyFont="1" applyBorder="1" applyAlignment="1" applyProtection="1">
      <alignment horizontal="center" vertical="center"/>
      <protection hidden="1"/>
    </xf>
    <xf numFmtId="0" fontId="11" fillId="0" borderId="31" xfId="0" applyFont="1" applyBorder="1" applyAlignment="1" applyProtection="1">
      <alignment horizontal="right" vertical="center" indent="2"/>
      <protection hidden="1"/>
    </xf>
    <xf numFmtId="0" fontId="11" fillId="0" borderId="31" xfId="0" applyFont="1" applyBorder="1" applyAlignment="1" applyProtection="1">
      <alignment horizontal="left" vertical="center" indent="2"/>
      <protection hidden="1"/>
    </xf>
    <xf numFmtId="0" fontId="11" fillId="0" borderId="35" xfId="0" applyFont="1" applyBorder="1" applyAlignment="1" applyProtection="1">
      <alignment horizontal="center" vertical="center"/>
      <protection hidden="1"/>
    </xf>
    <xf numFmtId="0" fontId="11" fillId="0" borderId="36" xfId="0" applyFont="1" applyBorder="1" applyAlignment="1" applyProtection="1">
      <alignment horizontal="center" vertical="center"/>
      <protection hidden="1"/>
    </xf>
    <xf numFmtId="0" fontId="9" fillId="0" borderId="36" xfId="0" applyFont="1" applyBorder="1" applyAlignment="1" applyProtection="1">
      <alignment horizontal="center" vertical="center"/>
      <protection hidden="1"/>
    </xf>
    <xf numFmtId="0" fontId="11" fillId="0" borderId="36" xfId="0" applyFont="1" applyBorder="1" applyAlignment="1" applyProtection="1">
      <alignment horizontal="right" vertical="center" indent="2"/>
      <protection hidden="1"/>
    </xf>
    <xf numFmtId="0" fontId="11" fillId="0" borderId="36" xfId="0" applyFont="1" applyBorder="1" applyAlignment="1" applyProtection="1">
      <alignment horizontal="left" vertical="center" indent="2"/>
      <protection hidden="1"/>
    </xf>
    <xf numFmtId="0" fontId="11" fillId="7" borderId="37" xfId="2" applyFont="1" applyBorder="1" applyAlignment="1" applyProtection="1">
      <alignment horizontal="center" vertical="center"/>
      <protection locked="0"/>
    </xf>
    <xf numFmtId="0" fontId="11" fillId="7" borderId="1" xfId="2" applyFont="1" applyBorder="1" applyAlignment="1" applyProtection="1">
      <alignment horizontal="center" vertical="center"/>
      <protection locked="0"/>
    </xf>
    <xf numFmtId="0" fontId="11" fillId="7" borderId="38" xfId="2" applyFont="1" applyBorder="1" applyAlignment="1" applyProtection="1">
      <alignment horizontal="center" vertical="center"/>
      <protection locked="0"/>
    </xf>
    <xf numFmtId="0" fontId="11" fillId="7" borderId="39" xfId="2" applyFont="1" applyBorder="1" applyAlignment="1" applyProtection="1">
      <alignment horizontal="center" vertical="center"/>
      <protection locked="0"/>
    </xf>
    <xf numFmtId="0" fontId="11" fillId="7" borderId="40" xfId="2" applyFont="1" applyBorder="1" applyAlignment="1" applyProtection="1">
      <alignment horizontal="center" vertical="center"/>
      <protection locked="0"/>
    </xf>
    <xf numFmtId="0" fontId="11" fillId="7" borderId="41" xfId="2" applyFont="1" applyBorder="1" applyAlignment="1" applyProtection="1">
      <alignment horizontal="center" vertical="center"/>
      <protection locked="0"/>
    </xf>
    <xf numFmtId="0" fontId="11" fillId="7" borderId="42" xfId="2" applyFont="1" applyBorder="1" applyAlignment="1" applyProtection="1">
      <alignment horizontal="center" vertical="center"/>
      <protection locked="0"/>
    </xf>
    <xf numFmtId="0" fontId="11" fillId="7" borderId="43" xfId="2" applyFont="1" applyBorder="1" applyAlignment="1" applyProtection="1">
      <alignment horizontal="center" vertical="center"/>
      <protection locked="0"/>
    </xf>
    <xf numFmtId="164" fontId="18" fillId="0" borderId="0" xfId="0" applyNumberFormat="1" applyFont="1" applyAlignment="1" applyProtection="1">
      <alignment horizontal="center" vertical="center"/>
      <protection hidden="1"/>
    </xf>
    <xf numFmtId="0" fontId="7" fillId="4" borderId="10" xfId="0" applyFont="1" applyFill="1" applyBorder="1" applyAlignment="1" applyProtection="1">
      <alignment horizontal="center" vertical="center"/>
      <protection hidden="1"/>
    </xf>
    <xf numFmtId="3" fontId="4" fillId="7" borderId="44" xfId="2" applyNumberFormat="1" applyFont="1" applyBorder="1" applyAlignment="1" applyProtection="1">
      <alignment horizontal="center" vertical="center"/>
      <protection locked="0"/>
    </xf>
    <xf numFmtId="3" fontId="4" fillId="7" borderId="45" xfId="2" applyNumberFormat="1" applyFont="1" applyBorder="1" applyAlignment="1" applyProtection="1">
      <alignment horizontal="center" vertical="center"/>
      <protection locked="0"/>
    </xf>
    <xf numFmtId="0" fontId="4" fillId="0" borderId="0" xfId="0" applyNumberFormat="1" applyFont="1" applyAlignment="1" applyProtection="1">
      <alignment horizontal="left" vertical="center"/>
      <protection hidden="1"/>
    </xf>
    <xf numFmtId="0" fontId="5" fillId="0" borderId="0" xfId="0" applyNumberFormat="1" applyFont="1" applyProtection="1">
      <protection hidden="1"/>
    </xf>
    <xf numFmtId="0" fontId="4" fillId="0" borderId="0" xfId="0" applyNumberFormat="1" applyFont="1" applyAlignment="1" applyProtection="1">
      <alignment vertical="center"/>
      <protection hidden="1"/>
    </xf>
    <xf numFmtId="0" fontId="5" fillId="0" borderId="0" xfId="0" applyNumberFormat="1" applyFont="1" applyAlignment="1" applyProtection="1">
      <alignment horizontal="left"/>
      <protection hidden="1"/>
    </xf>
    <xf numFmtId="164" fontId="18" fillId="0" borderId="0" xfId="0" applyNumberFormat="1" applyFont="1" applyAlignment="1" applyProtection="1">
      <alignment horizontal="right" vertical="center"/>
      <protection hidden="1"/>
    </xf>
    <xf numFmtId="0" fontId="14" fillId="5" borderId="14" xfId="0" applyFont="1" applyFill="1" applyBorder="1" applyAlignment="1" applyProtection="1">
      <alignment horizontal="center" vertical="center"/>
      <protection hidden="1"/>
    </xf>
    <xf numFmtId="0" fontId="14" fillId="5" borderId="16" xfId="0" applyFont="1" applyFill="1" applyBorder="1" applyAlignment="1" applyProtection="1">
      <alignment horizontal="center" vertical="center"/>
      <protection hidden="1"/>
    </xf>
    <xf numFmtId="0" fontId="14" fillId="5" borderId="13" xfId="0" applyFont="1" applyFill="1" applyBorder="1" applyAlignment="1" applyProtection="1">
      <alignment horizontal="center" vertical="center"/>
      <protection hidden="1"/>
    </xf>
    <xf numFmtId="0" fontId="14" fillId="5" borderId="32" xfId="0" applyFont="1" applyFill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right" vertical="center"/>
      <protection hidden="1"/>
    </xf>
    <xf numFmtId="0" fontId="16" fillId="5" borderId="13" xfId="0" applyFont="1" applyFill="1" applyBorder="1" applyAlignment="1" applyProtection="1">
      <alignment horizontal="center" vertical="center"/>
      <protection hidden="1"/>
    </xf>
    <xf numFmtId="0" fontId="16" fillId="5" borderId="0" xfId="0" applyFont="1" applyFill="1" applyBorder="1" applyAlignment="1" applyProtection="1">
      <alignment horizontal="center" vertical="center"/>
      <protection hidden="1"/>
    </xf>
    <xf numFmtId="0" fontId="10" fillId="5" borderId="13" xfId="0" applyFont="1" applyFill="1" applyBorder="1" applyAlignment="1" applyProtection="1">
      <alignment horizontal="center" vertical="center"/>
      <protection hidden="1"/>
    </xf>
    <xf numFmtId="0" fontId="10" fillId="5" borderId="0" xfId="0" applyFont="1" applyFill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4" fillId="5" borderId="33" xfId="0" applyFont="1" applyFill="1" applyBorder="1" applyAlignment="1" applyProtection="1">
      <alignment horizontal="center" vertical="center"/>
      <protection hidden="1"/>
    </xf>
    <xf numFmtId="0" fontId="12" fillId="5" borderId="12" xfId="0" applyFont="1" applyFill="1" applyBorder="1" applyAlignment="1" applyProtection="1">
      <alignment horizontal="center" vertical="center"/>
      <protection hidden="1"/>
    </xf>
    <xf numFmtId="0" fontId="12" fillId="5" borderId="34" xfId="0" applyFont="1" applyFill="1" applyBorder="1" applyAlignment="1" applyProtection="1">
      <alignment horizontal="center" vertical="center"/>
      <protection hidden="1"/>
    </xf>
    <xf numFmtId="0" fontId="14" fillId="5" borderId="0" xfId="0" applyFont="1" applyFill="1" applyBorder="1" applyAlignment="1" applyProtection="1">
      <alignment horizontal="center" vertical="center"/>
      <protection hidden="1"/>
    </xf>
    <xf numFmtId="0" fontId="12" fillId="6" borderId="48" xfId="1" applyFont="1" applyFill="1" applyBorder="1" applyAlignment="1" applyProtection="1">
      <alignment horizontal="center" vertical="center" shrinkToFit="1"/>
      <protection hidden="1"/>
    </xf>
    <xf numFmtId="0" fontId="12" fillId="6" borderId="46" xfId="1" applyFont="1" applyFill="1" applyBorder="1" applyAlignment="1" applyProtection="1">
      <alignment horizontal="center" vertical="center" shrinkToFit="1"/>
      <protection hidden="1"/>
    </xf>
    <xf numFmtId="0" fontId="12" fillId="6" borderId="47" xfId="1" applyFont="1" applyFill="1" applyBorder="1" applyAlignment="1" applyProtection="1">
      <alignment horizontal="center" vertical="center" shrinkToFit="1"/>
      <protection hidden="1"/>
    </xf>
    <xf numFmtId="0" fontId="12" fillId="5" borderId="15" xfId="0" applyFont="1" applyFill="1" applyBorder="1" applyAlignment="1" applyProtection="1">
      <alignment horizontal="center" vertical="center"/>
      <protection hidden="1"/>
    </xf>
    <xf numFmtId="0" fontId="12" fillId="0" borderId="52" xfId="0" applyFont="1" applyBorder="1" applyAlignment="1" applyProtection="1">
      <alignment horizontal="center" vertical="center"/>
      <protection hidden="1"/>
    </xf>
    <xf numFmtId="0" fontId="13" fillId="0" borderId="52" xfId="0" applyFont="1" applyBorder="1" applyAlignment="1" applyProtection="1">
      <alignment horizontal="center" vertical="center"/>
      <protection hidden="1"/>
    </xf>
    <xf numFmtId="0" fontId="12" fillId="6" borderId="12" xfId="0" applyFont="1" applyFill="1" applyBorder="1" applyAlignment="1" applyProtection="1">
      <alignment horizontal="center" vertical="center"/>
      <protection hidden="1"/>
    </xf>
    <xf numFmtId="0" fontId="12" fillId="6" borderId="13" xfId="0" applyFont="1" applyFill="1" applyBorder="1" applyAlignment="1" applyProtection="1">
      <alignment horizontal="center" vertical="center"/>
      <protection hidden="1"/>
    </xf>
    <xf numFmtId="0" fontId="12" fillId="6" borderId="14" xfId="0" applyFont="1" applyFill="1" applyBorder="1" applyAlignment="1" applyProtection="1">
      <alignment horizontal="center" vertical="center"/>
      <protection hidden="1"/>
    </xf>
    <xf numFmtId="0" fontId="12" fillId="6" borderId="34" xfId="0" applyFont="1" applyFill="1" applyBorder="1" applyAlignment="1" applyProtection="1">
      <alignment horizontal="center" vertical="center"/>
      <protection hidden="1"/>
    </xf>
    <xf numFmtId="0" fontId="12" fillId="6" borderId="32" xfId="0" applyFont="1" applyFill="1" applyBorder="1" applyAlignment="1" applyProtection="1">
      <alignment horizontal="center" vertical="center"/>
      <protection hidden="1"/>
    </xf>
    <xf numFmtId="0" fontId="12" fillId="6" borderId="33" xfId="0" applyFont="1" applyFill="1" applyBorder="1" applyAlignment="1" applyProtection="1">
      <alignment horizontal="center" vertical="center"/>
      <protection hidden="1"/>
    </xf>
    <xf numFmtId="0" fontId="9" fillId="0" borderId="23" xfId="0" applyFont="1" applyBorder="1" applyAlignment="1" applyProtection="1">
      <alignment horizontal="center" vertical="center" shrinkToFit="1"/>
      <protection hidden="1"/>
    </xf>
    <xf numFmtId="0" fontId="9" fillId="0" borderId="49" xfId="0" applyFont="1" applyBorder="1" applyAlignment="1" applyProtection="1">
      <alignment horizontal="center" vertical="center" shrinkToFit="1"/>
      <protection hidden="1"/>
    </xf>
    <xf numFmtId="0" fontId="9" fillId="0" borderId="18" xfId="0" applyFont="1" applyBorder="1" applyAlignment="1" applyProtection="1">
      <alignment horizontal="center" vertical="center" shrinkToFit="1"/>
      <protection hidden="1"/>
    </xf>
    <xf numFmtId="0" fontId="9" fillId="0" borderId="51" xfId="0" applyFont="1" applyBorder="1" applyAlignment="1" applyProtection="1">
      <alignment horizontal="center" vertical="center" shrinkToFit="1"/>
      <protection hidden="1"/>
    </xf>
    <xf numFmtId="0" fontId="12" fillId="6" borderId="48" xfId="1" applyFont="1" applyFill="1" applyBorder="1" applyAlignment="1" applyProtection="1">
      <alignment horizontal="center" vertical="center"/>
      <protection hidden="1"/>
    </xf>
    <xf numFmtId="0" fontId="12" fillId="6" borderId="46" xfId="1" applyFont="1" applyFill="1" applyBorder="1" applyAlignment="1" applyProtection="1">
      <alignment horizontal="center" vertical="center"/>
      <protection hidden="1"/>
    </xf>
    <xf numFmtId="0" fontId="12" fillId="6" borderId="47" xfId="1" applyFont="1" applyFill="1" applyBorder="1" applyAlignment="1" applyProtection="1">
      <alignment horizontal="center" vertical="center"/>
      <protection hidden="1"/>
    </xf>
    <xf numFmtId="0" fontId="12" fillId="6" borderId="12" xfId="1" applyFont="1" applyFill="1" applyBorder="1" applyAlignment="1">
      <alignment horizontal="center" vertical="center"/>
    </xf>
    <xf numFmtId="0" fontId="12" fillId="6" borderId="13" xfId="1" applyFont="1" applyFill="1" applyBorder="1" applyAlignment="1">
      <alignment horizontal="center" vertical="center"/>
    </xf>
    <xf numFmtId="0" fontId="12" fillId="6" borderId="14" xfId="1" applyFont="1" applyFill="1" applyBorder="1" applyAlignment="1">
      <alignment horizontal="center" vertical="center"/>
    </xf>
    <xf numFmtId="0" fontId="12" fillId="6" borderId="34" xfId="1" applyFont="1" applyFill="1" applyBorder="1" applyAlignment="1">
      <alignment horizontal="center" vertical="center"/>
    </xf>
    <xf numFmtId="0" fontId="12" fillId="6" borderId="32" xfId="1" applyFont="1" applyFill="1" applyBorder="1" applyAlignment="1">
      <alignment horizontal="center" vertical="center"/>
    </xf>
    <xf numFmtId="0" fontId="12" fillId="6" borderId="33" xfId="1" applyFont="1" applyFill="1" applyBorder="1" applyAlignment="1">
      <alignment horizontal="center" vertical="center"/>
    </xf>
    <xf numFmtId="0" fontId="9" fillId="0" borderId="31" xfId="0" applyFont="1" applyBorder="1" applyAlignment="1" applyProtection="1">
      <alignment horizontal="center" vertical="center" shrinkToFit="1"/>
      <protection hidden="1"/>
    </xf>
    <xf numFmtId="0" fontId="9" fillId="0" borderId="50" xfId="0" applyFont="1" applyBorder="1" applyAlignment="1" applyProtection="1">
      <alignment horizontal="center" vertical="center" shrinkToFit="1"/>
      <protection hidden="1"/>
    </xf>
  </cellXfs>
  <cellStyles count="3">
    <cellStyle name="Hyperlink" xfId="1" builtinId="8"/>
    <cellStyle name="Normal" xfId="0" builtinId="0"/>
    <cellStyle name="Note" xfId="2" builtinId="10"/>
  </cellStyles>
  <dxfs count="11">
    <dxf>
      <font>
        <b/>
        <i val="0"/>
        <color theme="3" tint="0.39994506668294322"/>
      </font>
    </dxf>
    <dxf>
      <font>
        <color rgb="FFFF0000"/>
      </font>
    </dxf>
    <dxf>
      <font>
        <b/>
        <i val="0"/>
        <color theme="3" tint="0.39994506668294322"/>
      </font>
    </dxf>
    <dxf>
      <font>
        <color rgb="FFFF0000"/>
      </font>
    </dxf>
    <dxf>
      <font>
        <color rgb="FFFF0000"/>
      </font>
    </dxf>
    <dxf>
      <font>
        <b/>
        <i val="0"/>
        <color theme="3" tint="0.39994506668294322"/>
      </font>
    </dxf>
    <dxf>
      <font>
        <b val="0"/>
        <i/>
        <color theme="6" tint="-0.24994659260841701"/>
      </font>
    </dxf>
    <dxf>
      <font>
        <b/>
        <i val="0"/>
        <color theme="3" tint="0.39994506668294322"/>
      </font>
    </dxf>
    <dxf>
      <font>
        <color rgb="FFFF0000"/>
      </font>
    </dxf>
    <dxf>
      <font>
        <b val="0"/>
        <i/>
        <color theme="6" tint="-0.24994659260841701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jpeg"/><Relationship Id="rId18" Type="http://schemas.openxmlformats.org/officeDocument/2006/relationships/image" Target="../media/image20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17" Type="http://schemas.openxmlformats.org/officeDocument/2006/relationships/image" Target="../media/image19.pn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20" Type="http://schemas.openxmlformats.org/officeDocument/2006/relationships/image" Target="../media/image22.jpeg"/><Relationship Id="rId1" Type="http://schemas.openxmlformats.org/officeDocument/2006/relationships/image" Target="../media/image3.jpe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10" Type="http://schemas.openxmlformats.org/officeDocument/2006/relationships/image" Target="../media/image12.png"/><Relationship Id="rId19" Type="http://schemas.openxmlformats.org/officeDocument/2006/relationships/image" Target="../media/image21.png"/><Relationship Id="rId4" Type="http://schemas.openxmlformats.org/officeDocument/2006/relationships/image" Target="../media/image6.png"/><Relationship Id="rId9" Type="http://schemas.openxmlformats.org/officeDocument/2006/relationships/image" Target="../media/image11.jpeg"/><Relationship Id="rId14" Type="http://schemas.openxmlformats.org/officeDocument/2006/relationships/image" Target="../media/image1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485775</xdr:colOff>
      <xdr:row>4</xdr:row>
      <xdr:rowOff>9525</xdr:rowOff>
    </xdr:from>
    <xdr:to>
      <xdr:col>11</xdr:col>
      <xdr:colOff>228600</xdr:colOff>
      <xdr:row>27</xdr:row>
      <xdr:rowOff>95250</xdr:rowOff>
    </xdr:to>
    <xdr:pic>
      <xdr:nvPicPr>
        <xdr:cNvPr id="2049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9000" y="523875"/>
          <a:ext cx="3390900" cy="3390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36</xdr:row>
      <xdr:rowOff>76200</xdr:rowOff>
    </xdr:from>
    <xdr:to>
      <xdr:col>15</xdr:col>
      <xdr:colOff>247650</xdr:colOff>
      <xdr:row>50</xdr:row>
      <xdr:rowOff>114300</xdr:rowOff>
    </xdr:to>
    <xdr:pic>
      <xdr:nvPicPr>
        <xdr:cNvPr id="1025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38925" y="6372225"/>
          <a:ext cx="3038475" cy="243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38100</xdr:colOff>
      <xdr:row>7</xdr:row>
      <xdr:rowOff>28575</xdr:rowOff>
    </xdr:from>
    <xdr:to>
      <xdr:col>6</xdr:col>
      <xdr:colOff>161925</xdr:colOff>
      <xdr:row>7</xdr:row>
      <xdr:rowOff>161925</xdr:rowOff>
    </xdr:to>
    <xdr:pic>
      <xdr:nvPicPr>
        <xdr:cNvPr id="1026" name="Рисунок 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67175" y="1447800"/>
          <a:ext cx="123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38100</xdr:colOff>
      <xdr:row>14</xdr:row>
      <xdr:rowOff>28575</xdr:rowOff>
    </xdr:from>
    <xdr:to>
      <xdr:col>6</xdr:col>
      <xdr:colOff>171450</xdr:colOff>
      <xdr:row>14</xdr:row>
      <xdr:rowOff>161925</xdr:rowOff>
    </xdr:to>
    <xdr:pic>
      <xdr:nvPicPr>
        <xdr:cNvPr id="1027" name="Рисунок 3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067175" y="2647950"/>
          <a:ext cx="1333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1638300</xdr:colOff>
      <xdr:row>23</xdr:row>
      <xdr:rowOff>28575</xdr:rowOff>
    </xdr:from>
    <xdr:to>
      <xdr:col>3</xdr:col>
      <xdr:colOff>1781175</xdr:colOff>
      <xdr:row>24</xdr:row>
      <xdr:rowOff>0</xdr:rowOff>
    </xdr:to>
    <xdr:pic>
      <xdr:nvPicPr>
        <xdr:cNvPr id="1028" name="Рисунок 3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371850" y="419100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1647825</xdr:colOff>
      <xdr:row>6</xdr:row>
      <xdr:rowOff>19050</xdr:rowOff>
    </xdr:from>
    <xdr:to>
      <xdr:col>3</xdr:col>
      <xdr:colOff>1781175</xdr:colOff>
      <xdr:row>6</xdr:row>
      <xdr:rowOff>161925</xdr:rowOff>
    </xdr:to>
    <xdr:pic>
      <xdr:nvPicPr>
        <xdr:cNvPr id="1029" name="Рисунок 2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381375" y="1266825"/>
          <a:ext cx="1333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1638300</xdr:colOff>
      <xdr:row>15</xdr:row>
      <xdr:rowOff>19050</xdr:rowOff>
    </xdr:from>
    <xdr:to>
      <xdr:col>3</xdr:col>
      <xdr:colOff>1781175</xdr:colOff>
      <xdr:row>15</xdr:row>
      <xdr:rowOff>161925</xdr:rowOff>
    </xdr:to>
    <xdr:pic>
      <xdr:nvPicPr>
        <xdr:cNvPr id="1030" name="Рисунок 9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371850" y="280987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28575</xdr:colOff>
      <xdr:row>23</xdr:row>
      <xdr:rowOff>19050</xdr:rowOff>
    </xdr:from>
    <xdr:to>
      <xdr:col>6</xdr:col>
      <xdr:colOff>161925</xdr:colOff>
      <xdr:row>23</xdr:row>
      <xdr:rowOff>161925</xdr:rowOff>
    </xdr:to>
    <xdr:pic>
      <xdr:nvPicPr>
        <xdr:cNvPr id="1031" name="Рисунок 10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057650" y="4181475"/>
          <a:ext cx="1333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28575</xdr:colOff>
      <xdr:row>6</xdr:row>
      <xdr:rowOff>19050</xdr:rowOff>
    </xdr:from>
    <xdr:to>
      <xdr:col>6</xdr:col>
      <xdr:colOff>171450</xdr:colOff>
      <xdr:row>6</xdr:row>
      <xdr:rowOff>161925</xdr:rowOff>
    </xdr:to>
    <xdr:pic>
      <xdr:nvPicPr>
        <xdr:cNvPr id="1032" name="Рисунок 3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057650" y="126682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1638300</xdr:colOff>
      <xdr:row>14</xdr:row>
      <xdr:rowOff>19050</xdr:rowOff>
    </xdr:from>
    <xdr:to>
      <xdr:col>3</xdr:col>
      <xdr:colOff>1781175</xdr:colOff>
      <xdr:row>14</xdr:row>
      <xdr:rowOff>161925</xdr:rowOff>
    </xdr:to>
    <xdr:pic>
      <xdr:nvPicPr>
        <xdr:cNvPr id="1033" name="Рисунок 12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371850" y="263842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1638300</xdr:colOff>
      <xdr:row>22</xdr:row>
      <xdr:rowOff>19050</xdr:rowOff>
    </xdr:from>
    <xdr:to>
      <xdr:col>3</xdr:col>
      <xdr:colOff>1781175</xdr:colOff>
      <xdr:row>22</xdr:row>
      <xdr:rowOff>161925</xdr:rowOff>
    </xdr:to>
    <xdr:pic>
      <xdr:nvPicPr>
        <xdr:cNvPr id="1034" name="Рисунок 13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371850" y="401002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1647825</xdr:colOff>
      <xdr:row>7</xdr:row>
      <xdr:rowOff>28575</xdr:rowOff>
    </xdr:from>
    <xdr:to>
      <xdr:col>3</xdr:col>
      <xdr:colOff>1790700</xdr:colOff>
      <xdr:row>8</xdr:row>
      <xdr:rowOff>0</xdr:rowOff>
    </xdr:to>
    <xdr:pic>
      <xdr:nvPicPr>
        <xdr:cNvPr id="1035" name="Рисунок 5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381375" y="144780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28575</xdr:colOff>
      <xdr:row>15</xdr:row>
      <xdr:rowOff>28575</xdr:rowOff>
    </xdr:from>
    <xdr:to>
      <xdr:col>6</xdr:col>
      <xdr:colOff>171450</xdr:colOff>
      <xdr:row>16</xdr:row>
      <xdr:rowOff>0</xdr:rowOff>
    </xdr:to>
    <xdr:pic>
      <xdr:nvPicPr>
        <xdr:cNvPr id="1036" name="Рисунок 15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057650" y="281940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28575</xdr:colOff>
      <xdr:row>22</xdr:row>
      <xdr:rowOff>19050</xdr:rowOff>
    </xdr:from>
    <xdr:to>
      <xdr:col>6</xdr:col>
      <xdr:colOff>171450</xdr:colOff>
      <xdr:row>22</xdr:row>
      <xdr:rowOff>161925</xdr:rowOff>
    </xdr:to>
    <xdr:pic>
      <xdr:nvPicPr>
        <xdr:cNvPr id="1037" name="Рисунок 16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057650" y="401002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1647825</xdr:colOff>
      <xdr:row>8</xdr:row>
      <xdr:rowOff>19050</xdr:rowOff>
    </xdr:from>
    <xdr:to>
      <xdr:col>3</xdr:col>
      <xdr:colOff>1781175</xdr:colOff>
      <xdr:row>8</xdr:row>
      <xdr:rowOff>161925</xdr:rowOff>
    </xdr:to>
    <xdr:pic>
      <xdr:nvPicPr>
        <xdr:cNvPr id="1038" name="Рисунок 6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381375" y="1609725"/>
          <a:ext cx="1333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1647825</xdr:colOff>
      <xdr:row>17</xdr:row>
      <xdr:rowOff>19050</xdr:rowOff>
    </xdr:from>
    <xdr:to>
      <xdr:col>3</xdr:col>
      <xdr:colOff>1781175</xdr:colOff>
      <xdr:row>17</xdr:row>
      <xdr:rowOff>161925</xdr:rowOff>
    </xdr:to>
    <xdr:pic>
      <xdr:nvPicPr>
        <xdr:cNvPr id="1039" name="Рисунок 18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381375" y="3152775"/>
          <a:ext cx="1333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28575</xdr:colOff>
      <xdr:row>24</xdr:row>
      <xdr:rowOff>28575</xdr:rowOff>
    </xdr:from>
    <xdr:to>
      <xdr:col>6</xdr:col>
      <xdr:colOff>171450</xdr:colOff>
      <xdr:row>25</xdr:row>
      <xdr:rowOff>0</xdr:rowOff>
    </xdr:to>
    <xdr:pic>
      <xdr:nvPicPr>
        <xdr:cNvPr id="1040" name="Рисунок 19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4057650" y="436245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28575</xdr:colOff>
      <xdr:row>8</xdr:row>
      <xdr:rowOff>28575</xdr:rowOff>
    </xdr:from>
    <xdr:to>
      <xdr:col>6</xdr:col>
      <xdr:colOff>171450</xdr:colOff>
      <xdr:row>8</xdr:row>
      <xdr:rowOff>161925</xdr:rowOff>
    </xdr:to>
    <xdr:pic>
      <xdr:nvPicPr>
        <xdr:cNvPr id="1041" name="Рисунок 14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057650" y="1619250"/>
          <a:ext cx="1428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1647825</xdr:colOff>
      <xdr:row>25</xdr:row>
      <xdr:rowOff>28575</xdr:rowOff>
    </xdr:from>
    <xdr:to>
      <xdr:col>3</xdr:col>
      <xdr:colOff>1781175</xdr:colOff>
      <xdr:row>26</xdr:row>
      <xdr:rowOff>0</xdr:rowOff>
    </xdr:to>
    <xdr:pic>
      <xdr:nvPicPr>
        <xdr:cNvPr id="1042" name="Рисунок 22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3381375" y="4533900"/>
          <a:ext cx="1333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1638300</xdr:colOff>
      <xdr:row>16</xdr:row>
      <xdr:rowOff>19050</xdr:rowOff>
    </xdr:from>
    <xdr:to>
      <xdr:col>3</xdr:col>
      <xdr:colOff>1781175</xdr:colOff>
      <xdr:row>16</xdr:row>
      <xdr:rowOff>161925</xdr:rowOff>
    </xdr:to>
    <xdr:pic>
      <xdr:nvPicPr>
        <xdr:cNvPr id="1043" name="Рисунок 23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3371850" y="298132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1647825</xdr:colOff>
      <xdr:row>9</xdr:row>
      <xdr:rowOff>19050</xdr:rowOff>
    </xdr:from>
    <xdr:to>
      <xdr:col>3</xdr:col>
      <xdr:colOff>1790700</xdr:colOff>
      <xdr:row>9</xdr:row>
      <xdr:rowOff>161925</xdr:rowOff>
    </xdr:to>
    <xdr:pic>
      <xdr:nvPicPr>
        <xdr:cNvPr id="1044" name="Рисунок 17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3381375" y="178117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28575</xdr:colOff>
      <xdr:row>17</xdr:row>
      <xdr:rowOff>28575</xdr:rowOff>
    </xdr:from>
    <xdr:to>
      <xdr:col>6</xdr:col>
      <xdr:colOff>171450</xdr:colOff>
      <xdr:row>18</xdr:row>
      <xdr:rowOff>0</xdr:rowOff>
    </xdr:to>
    <xdr:pic>
      <xdr:nvPicPr>
        <xdr:cNvPr id="1045" name="Рисунок 25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4057650" y="316230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28575</xdr:colOff>
      <xdr:row>25</xdr:row>
      <xdr:rowOff>28575</xdr:rowOff>
    </xdr:from>
    <xdr:to>
      <xdr:col>6</xdr:col>
      <xdr:colOff>171450</xdr:colOff>
      <xdr:row>26</xdr:row>
      <xdr:rowOff>0</xdr:rowOff>
    </xdr:to>
    <xdr:pic>
      <xdr:nvPicPr>
        <xdr:cNvPr id="1046" name="Рисунок 27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4057650" y="453390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28575</xdr:colOff>
      <xdr:row>9</xdr:row>
      <xdr:rowOff>19050</xdr:rowOff>
    </xdr:from>
    <xdr:to>
      <xdr:col>6</xdr:col>
      <xdr:colOff>171450</xdr:colOff>
      <xdr:row>9</xdr:row>
      <xdr:rowOff>161925</xdr:rowOff>
    </xdr:to>
    <xdr:pic>
      <xdr:nvPicPr>
        <xdr:cNvPr id="1047" name="Рисунок 20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4057650" y="178117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28575</xdr:colOff>
      <xdr:row>16</xdr:row>
      <xdr:rowOff>19050</xdr:rowOff>
    </xdr:from>
    <xdr:to>
      <xdr:col>6</xdr:col>
      <xdr:colOff>171450</xdr:colOff>
      <xdr:row>16</xdr:row>
      <xdr:rowOff>161925</xdr:rowOff>
    </xdr:to>
    <xdr:pic>
      <xdr:nvPicPr>
        <xdr:cNvPr id="1048" name="Рисунок 29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4057650" y="298132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1647825</xdr:colOff>
      <xdr:row>24</xdr:row>
      <xdr:rowOff>28575</xdr:rowOff>
    </xdr:from>
    <xdr:to>
      <xdr:col>3</xdr:col>
      <xdr:colOff>1781175</xdr:colOff>
      <xdr:row>24</xdr:row>
      <xdr:rowOff>161925</xdr:rowOff>
    </xdr:to>
    <xdr:pic>
      <xdr:nvPicPr>
        <xdr:cNvPr id="1049" name="Рисунок 30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3381375" y="4362450"/>
          <a:ext cx="1333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1647825</xdr:colOff>
      <xdr:row>10</xdr:row>
      <xdr:rowOff>28575</xdr:rowOff>
    </xdr:from>
    <xdr:to>
      <xdr:col>3</xdr:col>
      <xdr:colOff>1790700</xdr:colOff>
      <xdr:row>11</xdr:row>
      <xdr:rowOff>0</xdr:rowOff>
    </xdr:to>
    <xdr:pic>
      <xdr:nvPicPr>
        <xdr:cNvPr id="1050" name="Рисунок 21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3381375" y="196215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1647825</xdr:colOff>
      <xdr:row>19</xdr:row>
      <xdr:rowOff>28575</xdr:rowOff>
    </xdr:from>
    <xdr:to>
      <xdr:col>3</xdr:col>
      <xdr:colOff>1790700</xdr:colOff>
      <xdr:row>20</xdr:row>
      <xdr:rowOff>0</xdr:rowOff>
    </xdr:to>
    <xdr:pic>
      <xdr:nvPicPr>
        <xdr:cNvPr id="1051" name="Рисунок 32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3381375" y="350520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28575</xdr:colOff>
      <xdr:row>26</xdr:row>
      <xdr:rowOff>28575</xdr:rowOff>
    </xdr:from>
    <xdr:to>
      <xdr:col>6</xdr:col>
      <xdr:colOff>171450</xdr:colOff>
      <xdr:row>27</xdr:row>
      <xdr:rowOff>0</xdr:rowOff>
    </xdr:to>
    <xdr:pic>
      <xdr:nvPicPr>
        <xdr:cNvPr id="1052" name="Рисунок 33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4057650" y="470535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10</xdr:row>
      <xdr:rowOff>19050</xdr:rowOff>
    </xdr:from>
    <xdr:to>
      <xdr:col>6</xdr:col>
      <xdr:colOff>161925</xdr:colOff>
      <xdr:row>10</xdr:row>
      <xdr:rowOff>161925</xdr:rowOff>
    </xdr:to>
    <xdr:pic>
      <xdr:nvPicPr>
        <xdr:cNvPr id="1053" name="Рисунок 24"/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4048125" y="195262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1638300</xdr:colOff>
      <xdr:row>18</xdr:row>
      <xdr:rowOff>19050</xdr:rowOff>
    </xdr:from>
    <xdr:to>
      <xdr:col>3</xdr:col>
      <xdr:colOff>1781175</xdr:colOff>
      <xdr:row>18</xdr:row>
      <xdr:rowOff>161925</xdr:rowOff>
    </xdr:to>
    <xdr:pic>
      <xdr:nvPicPr>
        <xdr:cNvPr id="1054" name="Рисунок 35"/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3371850" y="332422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1638300</xdr:colOff>
      <xdr:row>27</xdr:row>
      <xdr:rowOff>19050</xdr:rowOff>
    </xdr:from>
    <xdr:to>
      <xdr:col>3</xdr:col>
      <xdr:colOff>1781175</xdr:colOff>
      <xdr:row>27</xdr:row>
      <xdr:rowOff>161925</xdr:rowOff>
    </xdr:to>
    <xdr:pic>
      <xdr:nvPicPr>
        <xdr:cNvPr id="1055" name="Рисунок 36"/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3371850" y="486727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1638300</xdr:colOff>
      <xdr:row>11</xdr:row>
      <xdr:rowOff>19050</xdr:rowOff>
    </xdr:from>
    <xdr:to>
      <xdr:col>3</xdr:col>
      <xdr:colOff>1790700</xdr:colOff>
      <xdr:row>11</xdr:row>
      <xdr:rowOff>161925</xdr:rowOff>
    </xdr:to>
    <xdr:pic>
      <xdr:nvPicPr>
        <xdr:cNvPr id="1056" name="Рисунок 28"/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3371850" y="2124075"/>
          <a:ext cx="1524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28575</xdr:colOff>
      <xdr:row>19</xdr:row>
      <xdr:rowOff>28575</xdr:rowOff>
    </xdr:from>
    <xdr:to>
      <xdr:col>6</xdr:col>
      <xdr:colOff>171450</xdr:colOff>
      <xdr:row>20</xdr:row>
      <xdr:rowOff>0</xdr:rowOff>
    </xdr:to>
    <xdr:pic>
      <xdr:nvPicPr>
        <xdr:cNvPr id="1057" name="Рисунок 38"/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4057650" y="350520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28575</xdr:colOff>
      <xdr:row>27</xdr:row>
      <xdr:rowOff>28575</xdr:rowOff>
    </xdr:from>
    <xdr:to>
      <xdr:col>6</xdr:col>
      <xdr:colOff>171450</xdr:colOff>
      <xdr:row>28</xdr:row>
      <xdr:rowOff>0</xdr:rowOff>
    </xdr:to>
    <xdr:pic>
      <xdr:nvPicPr>
        <xdr:cNvPr id="1058" name="Рисунок 39"/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4057650" y="487680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28575</xdr:colOff>
      <xdr:row>18</xdr:row>
      <xdr:rowOff>28575</xdr:rowOff>
    </xdr:from>
    <xdr:to>
      <xdr:col>6</xdr:col>
      <xdr:colOff>171450</xdr:colOff>
      <xdr:row>19</xdr:row>
      <xdr:rowOff>0</xdr:rowOff>
    </xdr:to>
    <xdr:pic>
      <xdr:nvPicPr>
        <xdr:cNvPr id="1059" name="Рисунок 31"/>
        <xdr:cNvPicPr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4057650" y="333375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28575</xdr:colOff>
      <xdr:row>11</xdr:row>
      <xdr:rowOff>28575</xdr:rowOff>
    </xdr:from>
    <xdr:to>
      <xdr:col>6</xdr:col>
      <xdr:colOff>171450</xdr:colOff>
      <xdr:row>12</xdr:row>
      <xdr:rowOff>0</xdr:rowOff>
    </xdr:to>
    <xdr:pic>
      <xdr:nvPicPr>
        <xdr:cNvPr id="1060" name="Рисунок 41"/>
        <xdr:cNvPicPr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4057650" y="213360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1638300</xdr:colOff>
      <xdr:row>26</xdr:row>
      <xdr:rowOff>28575</xdr:rowOff>
    </xdr:from>
    <xdr:to>
      <xdr:col>3</xdr:col>
      <xdr:colOff>1781175</xdr:colOff>
      <xdr:row>27</xdr:row>
      <xdr:rowOff>0</xdr:rowOff>
    </xdr:to>
    <xdr:pic>
      <xdr:nvPicPr>
        <xdr:cNvPr id="1061" name="Рисунок 42"/>
        <xdr:cNvPicPr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3371850" y="470535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1647825</xdr:colOff>
      <xdr:row>12</xdr:row>
      <xdr:rowOff>19050</xdr:rowOff>
    </xdr:from>
    <xdr:to>
      <xdr:col>3</xdr:col>
      <xdr:colOff>1790700</xdr:colOff>
      <xdr:row>12</xdr:row>
      <xdr:rowOff>161925</xdr:rowOff>
    </xdr:to>
    <xdr:pic>
      <xdr:nvPicPr>
        <xdr:cNvPr id="1062" name="Рисунок 34"/>
        <xdr:cNvPicPr>
          <a:picLocks noChangeAspect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3381375" y="229552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28575</xdr:colOff>
      <xdr:row>28</xdr:row>
      <xdr:rowOff>28575</xdr:rowOff>
    </xdr:from>
    <xdr:to>
      <xdr:col>6</xdr:col>
      <xdr:colOff>171450</xdr:colOff>
      <xdr:row>29</xdr:row>
      <xdr:rowOff>0</xdr:rowOff>
    </xdr:to>
    <xdr:pic>
      <xdr:nvPicPr>
        <xdr:cNvPr id="1063" name="Рисунок 44"/>
        <xdr:cNvPicPr>
          <a:picLocks noChangeAspect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4057650" y="504825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28575</xdr:colOff>
      <xdr:row>20</xdr:row>
      <xdr:rowOff>28575</xdr:rowOff>
    </xdr:from>
    <xdr:to>
      <xdr:col>6</xdr:col>
      <xdr:colOff>171450</xdr:colOff>
      <xdr:row>21</xdr:row>
      <xdr:rowOff>0</xdr:rowOff>
    </xdr:to>
    <xdr:pic>
      <xdr:nvPicPr>
        <xdr:cNvPr id="1064" name="Рисунок 45"/>
        <xdr:cNvPicPr>
          <a:picLocks noChangeAspect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4057650" y="367665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12</xdr:row>
      <xdr:rowOff>28575</xdr:rowOff>
    </xdr:from>
    <xdr:to>
      <xdr:col>6</xdr:col>
      <xdr:colOff>161925</xdr:colOff>
      <xdr:row>13</xdr:row>
      <xdr:rowOff>0</xdr:rowOff>
    </xdr:to>
    <xdr:pic>
      <xdr:nvPicPr>
        <xdr:cNvPr id="1065" name="Рисунок 37"/>
        <xdr:cNvPicPr>
          <a:picLocks noChangeAspect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4048125" y="230505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21</xdr:row>
      <xdr:rowOff>28575</xdr:rowOff>
    </xdr:from>
    <xdr:to>
      <xdr:col>6</xdr:col>
      <xdr:colOff>161925</xdr:colOff>
      <xdr:row>22</xdr:row>
      <xdr:rowOff>0</xdr:rowOff>
    </xdr:to>
    <xdr:pic>
      <xdr:nvPicPr>
        <xdr:cNvPr id="1066" name="Рисунок 47"/>
        <xdr:cNvPicPr>
          <a:picLocks noChangeAspect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4048125" y="384810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1638300</xdr:colOff>
      <xdr:row>29</xdr:row>
      <xdr:rowOff>19050</xdr:rowOff>
    </xdr:from>
    <xdr:to>
      <xdr:col>3</xdr:col>
      <xdr:colOff>1781175</xdr:colOff>
      <xdr:row>29</xdr:row>
      <xdr:rowOff>161925</xdr:rowOff>
    </xdr:to>
    <xdr:pic>
      <xdr:nvPicPr>
        <xdr:cNvPr id="1067" name="Рисунок 48"/>
        <xdr:cNvPicPr>
          <a:picLocks noChangeAspect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3371850" y="521017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1638300</xdr:colOff>
      <xdr:row>13</xdr:row>
      <xdr:rowOff>19050</xdr:rowOff>
    </xdr:from>
    <xdr:to>
      <xdr:col>3</xdr:col>
      <xdr:colOff>1781175</xdr:colOff>
      <xdr:row>13</xdr:row>
      <xdr:rowOff>161925</xdr:rowOff>
    </xdr:to>
    <xdr:pic>
      <xdr:nvPicPr>
        <xdr:cNvPr id="1068" name="Рисунок 40"/>
        <xdr:cNvPicPr>
          <a:picLocks noChangeAspect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3371850" y="246697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1638300</xdr:colOff>
      <xdr:row>20</xdr:row>
      <xdr:rowOff>19050</xdr:rowOff>
    </xdr:from>
    <xdr:to>
      <xdr:col>3</xdr:col>
      <xdr:colOff>1781175</xdr:colOff>
      <xdr:row>20</xdr:row>
      <xdr:rowOff>161925</xdr:rowOff>
    </xdr:to>
    <xdr:pic>
      <xdr:nvPicPr>
        <xdr:cNvPr id="1069" name="Рисунок 50"/>
        <xdr:cNvPicPr>
          <a:picLocks noChangeAspect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3371850" y="366712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28575</xdr:colOff>
      <xdr:row>29</xdr:row>
      <xdr:rowOff>28575</xdr:rowOff>
    </xdr:from>
    <xdr:to>
      <xdr:col>6</xdr:col>
      <xdr:colOff>180975</xdr:colOff>
      <xdr:row>30</xdr:row>
      <xdr:rowOff>0</xdr:rowOff>
    </xdr:to>
    <xdr:pic>
      <xdr:nvPicPr>
        <xdr:cNvPr id="1070" name="Рисунок 51"/>
        <xdr:cNvPicPr>
          <a:picLocks noChangeAspect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4057650" y="5219700"/>
          <a:ext cx="1524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28575</xdr:colOff>
      <xdr:row>13</xdr:row>
      <xdr:rowOff>28575</xdr:rowOff>
    </xdr:from>
    <xdr:to>
      <xdr:col>6</xdr:col>
      <xdr:colOff>171450</xdr:colOff>
      <xdr:row>13</xdr:row>
      <xdr:rowOff>161925</xdr:rowOff>
    </xdr:to>
    <xdr:pic>
      <xdr:nvPicPr>
        <xdr:cNvPr id="1071" name="Рисунок 43"/>
        <xdr:cNvPicPr>
          <a:picLocks noChangeAspect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4057650" y="2476500"/>
          <a:ext cx="1428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1638300</xdr:colOff>
      <xdr:row>21</xdr:row>
      <xdr:rowOff>19050</xdr:rowOff>
    </xdr:from>
    <xdr:to>
      <xdr:col>3</xdr:col>
      <xdr:colOff>1771650</xdr:colOff>
      <xdr:row>21</xdr:row>
      <xdr:rowOff>161925</xdr:rowOff>
    </xdr:to>
    <xdr:pic>
      <xdr:nvPicPr>
        <xdr:cNvPr id="1072" name="Рисунок 53"/>
        <xdr:cNvPicPr>
          <a:picLocks noChangeAspect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3371850" y="3838575"/>
          <a:ext cx="1333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1638300</xdr:colOff>
      <xdr:row>28</xdr:row>
      <xdr:rowOff>19050</xdr:rowOff>
    </xdr:from>
    <xdr:to>
      <xdr:col>3</xdr:col>
      <xdr:colOff>1771650</xdr:colOff>
      <xdr:row>28</xdr:row>
      <xdr:rowOff>161925</xdr:rowOff>
    </xdr:to>
    <xdr:pic>
      <xdr:nvPicPr>
        <xdr:cNvPr id="1073" name="Рисунок 54"/>
        <xdr:cNvPicPr>
          <a:picLocks noChangeAspect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3371850" y="5038725"/>
          <a:ext cx="1333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hyperlink" Target="http://www.excely.com/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://www.excely.com/bet-for-free.shtml" TargetMode="External"/><Relationship Id="rId1" Type="http://schemas.openxmlformats.org/officeDocument/2006/relationships/hyperlink" Target="http://cutmp3.net/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://www.xtau.com/" TargetMode="External"/><Relationship Id="rId4" Type="http://schemas.openxmlformats.org/officeDocument/2006/relationships/hyperlink" Target="http://worldticketshop.cleafs.com/go?k=QBeHTvRq8bdGD4J0&amp;c=1&amp;redirect=http%3A%2F%2Fwww.worldticketshop.com%2Ffootball%2Ftickets%2Feuro_2012_ticke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AJ6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20.1640625" defaultRowHeight="11.25"/>
  <cols>
    <col min="1" max="22" width="20.1640625" customWidth="1"/>
    <col min="23" max="23" width="20.1640625" style="23" customWidth="1"/>
    <col min="24" max="29" width="20.1640625" customWidth="1"/>
    <col min="30" max="33" width="20.1640625" style="3" customWidth="1"/>
    <col min="34" max="36" width="20.1640625" style="23" customWidth="1"/>
  </cols>
  <sheetData>
    <row r="1" spans="1:36" s="1" customFormat="1">
      <c r="A1" s="1" t="s">
        <v>757</v>
      </c>
      <c r="B1" s="1" t="s">
        <v>577</v>
      </c>
      <c r="C1" s="1" t="s">
        <v>758</v>
      </c>
      <c r="D1" s="1" t="s">
        <v>578</v>
      </c>
      <c r="E1" s="1" t="s">
        <v>579</v>
      </c>
      <c r="F1" s="1" t="s">
        <v>580</v>
      </c>
      <c r="G1" s="1" t="s">
        <v>857</v>
      </c>
      <c r="H1" s="1" t="s">
        <v>987</v>
      </c>
      <c r="I1" s="1" t="s">
        <v>428</v>
      </c>
      <c r="J1" s="1" t="s">
        <v>1068</v>
      </c>
      <c r="K1" s="25" t="s">
        <v>1099</v>
      </c>
      <c r="L1" s="1" t="s">
        <v>1221</v>
      </c>
      <c r="M1" s="1" t="s">
        <v>1340</v>
      </c>
      <c r="N1" s="1" t="s">
        <v>266</v>
      </c>
      <c r="O1" s="1" t="s">
        <v>1259</v>
      </c>
      <c r="P1" s="1" t="s">
        <v>519</v>
      </c>
      <c r="Q1" s="25" t="s">
        <v>149</v>
      </c>
      <c r="R1" s="1" t="s">
        <v>306</v>
      </c>
      <c r="S1" s="1" t="s">
        <v>1301</v>
      </c>
      <c r="T1" s="1" t="s">
        <v>26</v>
      </c>
      <c r="U1" s="1" t="s">
        <v>27</v>
      </c>
      <c r="V1" s="1" t="s">
        <v>90</v>
      </c>
      <c r="W1" s="1" t="s">
        <v>1300</v>
      </c>
      <c r="X1" s="1" t="s">
        <v>1104</v>
      </c>
      <c r="Y1" s="1" t="s">
        <v>329</v>
      </c>
      <c r="Z1" s="1" t="s">
        <v>696</v>
      </c>
      <c r="AA1" s="1" t="s">
        <v>304</v>
      </c>
      <c r="AB1" s="1" t="s">
        <v>148</v>
      </c>
      <c r="AC1" s="1" t="s">
        <v>58</v>
      </c>
      <c r="AD1" s="1" t="s">
        <v>988</v>
      </c>
      <c r="AE1" s="1" t="s">
        <v>1134</v>
      </c>
      <c r="AF1" s="1" t="s">
        <v>206</v>
      </c>
      <c r="AG1" s="1" t="s">
        <v>390</v>
      </c>
      <c r="AH1" s="1" t="s">
        <v>561</v>
      </c>
      <c r="AI1" s="1" t="s">
        <v>858</v>
      </c>
      <c r="AJ1" s="1" t="s">
        <v>219</v>
      </c>
    </row>
    <row r="2" spans="1:36">
      <c r="A2" t="s">
        <v>1385</v>
      </c>
      <c r="B2" t="s">
        <v>1385</v>
      </c>
      <c r="C2" t="s">
        <v>1386</v>
      </c>
      <c r="D2" t="s">
        <v>1385</v>
      </c>
      <c r="E2" t="s">
        <v>1387</v>
      </c>
      <c r="F2" t="s">
        <v>1385</v>
      </c>
      <c r="G2" t="s">
        <v>1388</v>
      </c>
      <c r="H2" t="s">
        <v>1389</v>
      </c>
      <c r="I2" t="s">
        <v>1390</v>
      </c>
      <c r="J2" t="s">
        <v>1391</v>
      </c>
      <c r="K2" s="24" t="s">
        <v>1392</v>
      </c>
      <c r="L2" t="s">
        <v>1393</v>
      </c>
      <c r="M2" t="s">
        <v>1394</v>
      </c>
      <c r="N2" t="s">
        <v>1395</v>
      </c>
      <c r="O2" s="24" t="s">
        <v>1396</v>
      </c>
      <c r="P2" t="s">
        <v>1397</v>
      </c>
      <c r="Q2" s="24" t="s">
        <v>1398</v>
      </c>
      <c r="R2" t="s">
        <v>1399</v>
      </c>
      <c r="S2" t="s">
        <v>1400</v>
      </c>
      <c r="T2" t="s">
        <v>1401</v>
      </c>
      <c r="U2" t="s">
        <v>1402</v>
      </c>
      <c r="V2" t="s">
        <v>1403</v>
      </c>
      <c r="W2" s="22" t="s">
        <v>1404</v>
      </c>
      <c r="X2" t="s">
        <v>1405</v>
      </c>
      <c r="Y2" t="s">
        <v>1406</v>
      </c>
      <c r="Z2" t="s">
        <v>1385</v>
      </c>
      <c r="AA2" t="s">
        <v>1407</v>
      </c>
      <c r="AB2" t="s">
        <v>1408</v>
      </c>
      <c r="AC2" t="s">
        <v>1409</v>
      </c>
      <c r="AD2" t="s">
        <v>1410</v>
      </c>
      <c r="AE2" t="s">
        <v>1411</v>
      </c>
      <c r="AF2" s="22" t="s">
        <v>1412</v>
      </c>
      <c r="AG2" s="22" t="s">
        <v>1413</v>
      </c>
      <c r="AH2" s="22" t="s">
        <v>1414</v>
      </c>
      <c r="AI2" s="22" t="s">
        <v>1415</v>
      </c>
      <c r="AJ2" s="22" t="s">
        <v>1416</v>
      </c>
    </row>
    <row r="3" spans="1:36">
      <c r="A3" t="s">
        <v>729</v>
      </c>
      <c r="B3" t="s">
        <v>586</v>
      </c>
      <c r="C3" t="s">
        <v>763</v>
      </c>
      <c r="D3" t="s">
        <v>601</v>
      </c>
      <c r="E3" t="s">
        <v>617</v>
      </c>
      <c r="F3" t="s">
        <v>630</v>
      </c>
      <c r="G3" t="s">
        <v>866</v>
      </c>
      <c r="H3" t="s">
        <v>946</v>
      </c>
      <c r="I3" t="s">
        <v>435</v>
      </c>
      <c r="J3" t="s">
        <v>1033</v>
      </c>
      <c r="K3" s="24" t="s">
        <v>729</v>
      </c>
      <c r="L3" t="s">
        <v>1189</v>
      </c>
      <c r="M3" t="s">
        <v>763</v>
      </c>
      <c r="N3" t="s">
        <v>274</v>
      </c>
      <c r="O3" s="24" t="s">
        <v>1231</v>
      </c>
      <c r="P3" t="s">
        <v>498</v>
      </c>
      <c r="Q3" s="24" t="s">
        <v>763</v>
      </c>
      <c r="R3" t="s">
        <v>1339</v>
      </c>
      <c r="S3" t="s">
        <v>1305</v>
      </c>
      <c r="T3" t="s">
        <v>1374</v>
      </c>
      <c r="U3" t="s">
        <v>31</v>
      </c>
      <c r="V3" t="s">
        <v>1305</v>
      </c>
      <c r="W3" s="22" t="s">
        <v>1262</v>
      </c>
      <c r="X3" t="s">
        <v>1111</v>
      </c>
      <c r="Y3" t="s">
        <v>1374</v>
      </c>
      <c r="Z3" t="s">
        <v>670</v>
      </c>
      <c r="AA3" t="s">
        <v>355</v>
      </c>
      <c r="AB3" t="s">
        <v>112</v>
      </c>
      <c r="AC3" t="s">
        <v>670</v>
      </c>
      <c r="AD3" t="s">
        <v>996</v>
      </c>
      <c r="AE3" t="s">
        <v>729</v>
      </c>
      <c r="AF3" s="22" t="s">
        <v>670</v>
      </c>
      <c r="AG3" s="22" t="s">
        <v>398</v>
      </c>
      <c r="AH3" s="22" t="s">
        <v>527</v>
      </c>
      <c r="AI3" s="22" t="s">
        <v>911</v>
      </c>
      <c r="AJ3" s="22" t="s">
        <v>225</v>
      </c>
    </row>
    <row r="4" spans="1:36">
      <c r="A4" t="s">
        <v>728</v>
      </c>
      <c r="B4" t="s">
        <v>793</v>
      </c>
      <c r="C4" t="s">
        <v>469</v>
      </c>
      <c r="D4" t="s">
        <v>600</v>
      </c>
      <c r="E4" t="s">
        <v>794</v>
      </c>
      <c r="F4" t="s">
        <v>600</v>
      </c>
      <c r="G4" t="s">
        <v>860</v>
      </c>
      <c r="H4" t="s">
        <v>941</v>
      </c>
      <c r="I4" t="s">
        <v>430</v>
      </c>
      <c r="J4" t="s">
        <v>1027</v>
      </c>
      <c r="K4" s="24" t="s">
        <v>1069</v>
      </c>
      <c r="L4" t="s">
        <v>1184</v>
      </c>
      <c r="M4" t="s">
        <v>1341</v>
      </c>
      <c r="N4" t="s">
        <v>268</v>
      </c>
      <c r="O4" s="24" t="s">
        <v>1227</v>
      </c>
      <c r="P4" t="s">
        <v>492</v>
      </c>
      <c r="Q4" s="24" t="s">
        <v>150</v>
      </c>
      <c r="R4" t="s">
        <v>307</v>
      </c>
      <c r="S4" t="s">
        <v>1227</v>
      </c>
      <c r="T4" t="s">
        <v>1370</v>
      </c>
      <c r="U4" t="s">
        <v>28</v>
      </c>
      <c r="V4" t="s">
        <v>1227</v>
      </c>
      <c r="W4" s="22" t="s">
        <v>657</v>
      </c>
      <c r="X4" t="s">
        <v>1105</v>
      </c>
      <c r="Y4" t="s">
        <v>1370</v>
      </c>
      <c r="Z4" t="s">
        <v>657</v>
      </c>
      <c r="AA4" t="s">
        <v>350</v>
      </c>
      <c r="AB4" t="s">
        <v>107</v>
      </c>
      <c r="AC4" t="s">
        <v>59</v>
      </c>
      <c r="AD4" t="s">
        <v>990</v>
      </c>
      <c r="AE4" t="s">
        <v>1136</v>
      </c>
      <c r="AF4" s="22" t="s">
        <v>165</v>
      </c>
      <c r="AG4" s="22" t="s">
        <v>392</v>
      </c>
      <c r="AH4" s="22" t="s">
        <v>521</v>
      </c>
      <c r="AI4" s="22" t="s">
        <v>905</v>
      </c>
      <c r="AJ4" s="22" t="s">
        <v>242</v>
      </c>
    </row>
    <row r="5" spans="1:36">
      <c r="A5" t="s">
        <v>1449</v>
      </c>
      <c r="B5" t="s">
        <v>1453</v>
      </c>
      <c r="C5" t="s">
        <v>1454</v>
      </c>
      <c r="D5" t="s">
        <v>1455</v>
      </c>
      <c r="E5" t="s">
        <v>1456</v>
      </c>
      <c r="F5" t="s">
        <v>1455</v>
      </c>
      <c r="G5" t="s">
        <v>1457</v>
      </c>
      <c r="H5" t="s">
        <v>1458</v>
      </c>
      <c r="I5" t="s">
        <v>1459</v>
      </c>
      <c r="J5" t="s">
        <v>1460</v>
      </c>
      <c r="K5" s="24" t="s">
        <v>1461</v>
      </c>
      <c r="L5" t="s">
        <v>1462</v>
      </c>
      <c r="M5" t="s">
        <v>1463</v>
      </c>
      <c r="N5" t="s">
        <v>1464</v>
      </c>
      <c r="O5" s="24" t="s">
        <v>1465</v>
      </c>
      <c r="P5" t="s">
        <v>1464</v>
      </c>
      <c r="Q5" s="24" t="s">
        <v>1463</v>
      </c>
      <c r="R5" t="s">
        <v>1463</v>
      </c>
      <c r="S5" t="s">
        <v>1465</v>
      </c>
      <c r="T5" t="s">
        <v>1465</v>
      </c>
      <c r="U5" t="s">
        <v>1466</v>
      </c>
      <c r="V5" t="s">
        <v>1465</v>
      </c>
      <c r="W5" s="22" t="s">
        <v>1467</v>
      </c>
      <c r="X5" t="s">
        <v>1468</v>
      </c>
      <c r="Y5" t="s">
        <v>1469</v>
      </c>
      <c r="Z5" t="s">
        <v>1467</v>
      </c>
      <c r="AA5" t="s">
        <v>1470</v>
      </c>
      <c r="AB5" t="s">
        <v>1466</v>
      </c>
      <c r="AC5" t="s">
        <v>1471</v>
      </c>
      <c r="AD5" t="s">
        <v>1466</v>
      </c>
      <c r="AE5" t="s">
        <v>1472</v>
      </c>
      <c r="AF5" s="22" t="s">
        <v>1467</v>
      </c>
      <c r="AG5" s="22" t="s">
        <v>1473</v>
      </c>
      <c r="AH5" s="22" t="s">
        <v>1474</v>
      </c>
      <c r="AI5" s="22" t="s">
        <v>1475</v>
      </c>
      <c r="AJ5" s="22" t="s">
        <v>1476</v>
      </c>
    </row>
    <row r="6" spans="1:36">
      <c r="A6" t="s">
        <v>1450</v>
      </c>
      <c r="B6" t="s">
        <v>1477</v>
      </c>
      <c r="C6" t="s">
        <v>1450</v>
      </c>
      <c r="D6" t="s">
        <v>1478</v>
      </c>
      <c r="E6" t="s">
        <v>1479</v>
      </c>
      <c r="F6" t="s">
        <v>1478</v>
      </c>
      <c r="G6" t="s">
        <v>1480</v>
      </c>
      <c r="H6" t="s">
        <v>1481</v>
      </c>
      <c r="I6" t="s">
        <v>1450</v>
      </c>
      <c r="J6" t="s">
        <v>1480</v>
      </c>
      <c r="K6" s="24" t="s">
        <v>1480</v>
      </c>
      <c r="L6" t="s">
        <v>1482</v>
      </c>
      <c r="M6" t="s">
        <v>1450</v>
      </c>
      <c r="N6" t="s">
        <v>1483</v>
      </c>
      <c r="O6" s="24" t="s">
        <v>1481</v>
      </c>
      <c r="P6" t="s">
        <v>1484</v>
      </c>
      <c r="Q6" s="24" t="s">
        <v>1450</v>
      </c>
      <c r="R6" t="s">
        <v>1450</v>
      </c>
      <c r="S6" t="s">
        <v>1485</v>
      </c>
      <c r="T6" t="s">
        <v>1485</v>
      </c>
      <c r="U6" t="s">
        <v>1480</v>
      </c>
      <c r="V6" t="s">
        <v>1485</v>
      </c>
      <c r="W6" s="22" t="s">
        <v>1486</v>
      </c>
      <c r="X6" t="s">
        <v>1487</v>
      </c>
      <c r="Y6" t="s">
        <v>1488</v>
      </c>
      <c r="Z6" t="s">
        <v>1486</v>
      </c>
      <c r="AA6" t="s">
        <v>1489</v>
      </c>
      <c r="AB6" t="s">
        <v>1490</v>
      </c>
      <c r="AC6" t="s">
        <v>1491</v>
      </c>
      <c r="AD6" t="s">
        <v>1492</v>
      </c>
      <c r="AE6" t="s">
        <v>1493</v>
      </c>
      <c r="AF6" s="22" t="s">
        <v>1486</v>
      </c>
      <c r="AG6" s="22" t="s">
        <v>1494</v>
      </c>
      <c r="AH6" s="22" t="s">
        <v>1495</v>
      </c>
      <c r="AI6" s="22" t="s">
        <v>1496</v>
      </c>
      <c r="AJ6" s="22" t="s">
        <v>1497</v>
      </c>
    </row>
    <row r="7" spans="1:36">
      <c r="A7" t="s">
        <v>730</v>
      </c>
      <c r="B7" t="s">
        <v>730</v>
      </c>
      <c r="C7" t="s">
        <v>764</v>
      </c>
      <c r="D7" t="s">
        <v>602</v>
      </c>
      <c r="E7" t="s">
        <v>602</v>
      </c>
      <c r="F7" t="s">
        <v>631</v>
      </c>
      <c r="G7" t="s">
        <v>861</v>
      </c>
      <c r="H7" t="s">
        <v>942</v>
      </c>
      <c r="I7" t="s">
        <v>431</v>
      </c>
      <c r="J7" t="s">
        <v>1028</v>
      </c>
      <c r="K7" s="24" t="s">
        <v>1070</v>
      </c>
      <c r="L7" t="s">
        <v>1185</v>
      </c>
      <c r="M7" t="s">
        <v>1342</v>
      </c>
      <c r="N7" t="s">
        <v>269</v>
      </c>
      <c r="O7" s="24" t="s">
        <v>1228</v>
      </c>
      <c r="P7" t="s">
        <v>493</v>
      </c>
      <c r="Q7" s="24" t="s">
        <v>151</v>
      </c>
      <c r="R7" t="s">
        <v>151</v>
      </c>
      <c r="S7" t="s">
        <v>1302</v>
      </c>
      <c r="T7" t="s">
        <v>1302</v>
      </c>
      <c r="U7" t="s">
        <v>29</v>
      </c>
      <c r="V7" t="s">
        <v>1302</v>
      </c>
      <c r="W7" s="22" t="s">
        <v>658</v>
      </c>
      <c r="X7" t="s">
        <v>1106</v>
      </c>
      <c r="Y7" t="s">
        <v>330</v>
      </c>
      <c r="Z7" t="s">
        <v>658</v>
      </c>
      <c r="AA7" t="s">
        <v>351</v>
      </c>
      <c r="AB7" t="s">
        <v>991</v>
      </c>
      <c r="AC7" t="s">
        <v>1498</v>
      </c>
      <c r="AD7" t="s">
        <v>991</v>
      </c>
      <c r="AE7" t="s">
        <v>1137</v>
      </c>
      <c r="AF7" s="22" t="s">
        <v>658</v>
      </c>
      <c r="AG7" s="22" t="s">
        <v>393</v>
      </c>
      <c r="AH7" s="22" t="s">
        <v>522</v>
      </c>
      <c r="AI7" s="22" t="s">
        <v>906</v>
      </c>
      <c r="AJ7" s="22" t="s">
        <v>220</v>
      </c>
    </row>
    <row r="8" spans="1:36">
      <c r="A8" t="s">
        <v>717</v>
      </c>
      <c r="B8" t="s">
        <v>581</v>
      </c>
      <c r="C8" t="s">
        <v>759</v>
      </c>
      <c r="D8" t="s">
        <v>595</v>
      </c>
      <c r="E8" t="s">
        <v>613</v>
      </c>
      <c r="F8" t="s">
        <v>628</v>
      </c>
      <c r="G8" t="s">
        <v>864</v>
      </c>
      <c r="H8" t="s">
        <v>944</v>
      </c>
      <c r="I8" t="s">
        <v>433</v>
      </c>
      <c r="J8" t="s">
        <v>1031</v>
      </c>
      <c r="K8" s="24" t="s">
        <v>613</v>
      </c>
      <c r="L8" t="s">
        <v>1188</v>
      </c>
      <c r="M8" t="s">
        <v>1344</v>
      </c>
      <c r="N8" t="s">
        <v>272</v>
      </c>
      <c r="O8" s="24" t="s">
        <v>1230</v>
      </c>
      <c r="P8" t="s">
        <v>496</v>
      </c>
      <c r="Q8" s="24" t="s">
        <v>1344</v>
      </c>
      <c r="R8" t="s">
        <v>1344</v>
      </c>
      <c r="S8" t="s">
        <v>1303</v>
      </c>
      <c r="T8" t="s">
        <v>1303</v>
      </c>
      <c r="U8" t="s">
        <v>30</v>
      </c>
      <c r="V8" t="s">
        <v>1499</v>
      </c>
      <c r="W8" s="22" t="s">
        <v>653</v>
      </c>
      <c r="X8" t="s">
        <v>1109</v>
      </c>
      <c r="Y8" t="s">
        <v>331</v>
      </c>
      <c r="Z8" t="s">
        <v>653</v>
      </c>
      <c r="AA8" t="s">
        <v>353</v>
      </c>
      <c r="AB8" t="s">
        <v>110</v>
      </c>
      <c r="AC8" t="s">
        <v>1500</v>
      </c>
      <c r="AD8" t="s">
        <v>994</v>
      </c>
      <c r="AE8" t="s">
        <v>1139</v>
      </c>
      <c r="AF8" s="22" t="s">
        <v>167</v>
      </c>
      <c r="AG8" s="22" t="s">
        <v>396</v>
      </c>
      <c r="AH8" s="22" t="s">
        <v>525</v>
      </c>
      <c r="AI8" s="22" t="s">
        <v>909</v>
      </c>
      <c r="AJ8" s="22" t="s">
        <v>223</v>
      </c>
    </row>
    <row r="9" spans="1:36" s="26" customFormat="1">
      <c r="A9" s="26" t="s">
        <v>662</v>
      </c>
      <c r="B9" s="26" t="s">
        <v>796</v>
      </c>
      <c r="C9" s="26" t="s">
        <v>797</v>
      </c>
      <c r="D9" s="26" t="s">
        <v>798</v>
      </c>
      <c r="E9" s="26" t="s">
        <v>798</v>
      </c>
      <c r="F9" s="26" t="s">
        <v>799</v>
      </c>
      <c r="G9" s="26" t="s">
        <v>867</v>
      </c>
      <c r="H9" s="26" t="s">
        <v>947</v>
      </c>
      <c r="I9" s="26" t="s">
        <v>436</v>
      </c>
      <c r="J9" s="26" t="s">
        <v>1034</v>
      </c>
      <c r="K9" s="27" t="s">
        <v>798</v>
      </c>
      <c r="L9" s="26" t="s">
        <v>1190</v>
      </c>
      <c r="M9" s="26" t="s">
        <v>1345</v>
      </c>
      <c r="N9" s="26" t="s">
        <v>275</v>
      </c>
      <c r="O9" s="27" t="s">
        <v>1232</v>
      </c>
      <c r="P9" s="26" t="s">
        <v>499</v>
      </c>
      <c r="Q9" s="27" t="s">
        <v>153</v>
      </c>
      <c r="R9" s="26" t="s">
        <v>308</v>
      </c>
      <c r="S9" s="26" t="s">
        <v>1306</v>
      </c>
      <c r="T9" s="26" t="s">
        <v>1306</v>
      </c>
      <c r="U9" s="26" t="s">
        <v>32</v>
      </c>
      <c r="V9" s="26" t="s">
        <v>1501</v>
      </c>
      <c r="W9" s="28" t="s">
        <v>1263</v>
      </c>
      <c r="X9" s="26" t="s">
        <v>475</v>
      </c>
      <c r="Y9" s="26" t="s">
        <v>333</v>
      </c>
      <c r="Z9" s="26" t="s">
        <v>781</v>
      </c>
      <c r="AA9" s="26" t="s">
        <v>356</v>
      </c>
      <c r="AB9" s="26" t="s">
        <v>113</v>
      </c>
      <c r="AC9" s="26" t="s">
        <v>1502</v>
      </c>
      <c r="AD9" s="26" t="s">
        <v>997</v>
      </c>
      <c r="AE9" s="26" t="s">
        <v>1503</v>
      </c>
      <c r="AF9" s="28" t="s">
        <v>168</v>
      </c>
      <c r="AG9" s="28" t="s">
        <v>399</v>
      </c>
      <c r="AH9" s="28" t="s">
        <v>528</v>
      </c>
      <c r="AI9" s="28" t="s">
        <v>912</v>
      </c>
      <c r="AJ9" s="28" t="s">
        <v>226</v>
      </c>
    </row>
    <row r="10" spans="1:36" s="26" customFormat="1">
      <c r="A10" s="26" t="s">
        <v>727</v>
      </c>
      <c r="B10" s="26" t="s">
        <v>585</v>
      </c>
      <c r="C10" s="26" t="s">
        <v>762</v>
      </c>
      <c r="D10" s="26" t="s">
        <v>599</v>
      </c>
      <c r="E10" s="26" t="s">
        <v>1504</v>
      </c>
      <c r="F10" s="26" t="s">
        <v>599</v>
      </c>
      <c r="G10" s="26" t="s">
        <v>862</v>
      </c>
      <c r="H10" s="26" t="s">
        <v>943</v>
      </c>
      <c r="I10" s="26" t="s">
        <v>432</v>
      </c>
      <c r="J10" s="26" t="s">
        <v>1029</v>
      </c>
      <c r="K10" s="27" t="s">
        <v>599</v>
      </c>
      <c r="L10" s="26" t="s">
        <v>1186</v>
      </c>
      <c r="M10" s="26" t="s">
        <v>762</v>
      </c>
      <c r="N10" s="26" t="s">
        <v>270</v>
      </c>
      <c r="O10" s="27" t="s">
        <v>943</v>
      </c>
      <c r="P10" s="26" t="s">
        <v>494</v>
      </c>
      <c r="Q10" s="27" t="s">
        <v>762</v>
      </c>
      <c r="R10" s="26" t="s">
        <v>599</v>
      </c>
      <c r="S10" s="26" t="s">
        <v>943</v>
      </c>
      <c r="T10" s="26" t="s">
        <v>943</v>
      </c>
      <c r="U10" s="29" t="s">
        <v>599</v>
      </c>
      <c r="V10" s="29" t="s">
        <v>943</v>
      </c>
      <c r="W10" s="32" t="s">
        <v>656</v>
      </c>
      <c r="X10" s="26" t="s">
        <v>1107</v>
      </c>
      <c r="Y10" s="26" t="s">
        <v>1371</v>
      </c>
      <c r="Z10" s="26" t="s">
        <v>656</v>
      </c>
      <c r="AA10" s="26" t="s">
        <v>352</v>
      </c>
      <c r="AB10" s="26" t="s">
        <v>108</v>
      </c>
      <c r="AC10" s="26" t="s">
        <v>1505</v>
      </c>
      <c r="AD10" s="26" t="s">
        <v>992</v>
      </c>
      <c r="AE10" s="26" t="s">
        <v>1506</v>
      </c>
      <c r="AF10" s="28" t="s">
        <v>656</v>
      </c>
      <c r="AG10" s="28" t="s">
        <v>394</v>
      </c>
      <c r="AH10" s="28" t="s">
        <v>523</v>
      </c>
      <c r="AI10" s="28" t="s">
        <v>907</v>
      </c>
      <c r="AJ10" s="28" t="s">
        <v>221</v>
      </c>
    </row>
    <row r="11" spans="1:36" s="26" customFormat="1">
      <c r="A11" s="26" t="s">
        <v>725</v>
      </c>
      <c r="B11" s="26" t="s">
        <v>584</v>
      </c>
      <c r="C11" s="26" t="s">
        <v>470</v>
      </c>
      <c r="D11" s="26" t="s">
        <v>1507</v>
      </c>
      <c r="E11" s="26" t="s">
        <v>615</v>
      </c>
      <c r="F11" s="26" t="s">
        <v>598</v>
      </c>
      <c r="G11" s="26" t="s">
        <v>863</v>
      </c>
      <c r="H11" s="26" t="s">
        <v>1508</v>
      </c>
      <c r="I11" s="26" t="s">
        <v>1343</v>
      </c>
      <c r="J11" s="26" t="s">
        <v>1030</v>
      </c>
      <c r="K11" s="27" t="s">
        <v>615</v>
      </c>
      <c r="L11" s="26" t="s">
        <v>1187</v>
      </c>
      <c r="M11" s="26" t="s">
        <v>1343</v>
      </c>
      <c r="N11" s="26" t="s">
        <v>271</v>
      </c>
      <c r="O11" s="27" t="s">
        <v>1229</v>
      </c>
      <c r="P11" s="26" t="s">
        <v>495</v>
      </c>
      <c r="Q11" s="27" t="s">
        <v>152</v>
      </c>
      <c r="R11" s="26" t="s">
        <v>1187</v>
      </c>
      <c r="S11" s="26" t="s">
        <v>1229</v>
      </c>
      <c r="T11" s="26" t="s">
        <v>91</v>
      </c>
      <c r="U11" s="29" t="s">
        <v>598</v>
      </c>
      <c r="V11" s="29" t="s">
        <v>91</v>
      </c>
      <c r="W11" s="32" t="s">
        <v>1260</v>
      </c>
      <c r="X11" s="26" t="s">
        <v>1108</v>
      </c>
      <c r="Y11" s="26" t="s">
        <v>1372</v>
      </c>
      <c r="Z11" s="26" t="s">
        <v>1509</v>
      </c>
      <c r="AA11" s="26" t="s">
        <v>1510</v>
      </c>
      <c r="AB11" s="26" t="s">
        <v>109</v>
      </c>
      <c r="AC11" s="26" t="s">
        <v>1511</v>
      </c>
      <c r="AD11" s="26" t="s">
        <v>993</v>
      </c>
      <c r="AE11" s="26" t="s">
        <v>1138</v>
      </c>
      <c r="AF11" s="28" t="s">
        <v>166</v>
      </c>
      <c r="AG11" s="28" t="s">
        <v>395</v>
      </c>
      <c r="AH11" s="28" t="s">
        <v>524</v>
      </c>
      <c r="AI11" s="28" t="s">
        <v>908</v>
      </c>
      <c r="AJ11" s="28" t="s">
        <v>222</v>
      </c>
    </row>
    <row r="12" spans="1:36" s="26" customFormat="1">
      <c r="A12" s="26" t="s">
        <v>723</v>
      </c>
      <c r="B12" s="26" t="s">
        <v>582</v>
      </c>
      <c r="C12" s="26" t="s">
        <v>760</v>
      </c>
      <c r="D12" s="26" t="s">
        <v>596</v>
      </c>
      <c r="E12" s="26" t="s">
        <v>596</v>
      </c>
      <c r="F12" s="26" t="s">
        <v>795</v>
      </c>
      <c r="G12" s="26" t="s">
        <v>865</v>
      </c>
      <c r="H12" s="26" t="s">
        <v>945</v>
      </c>
      <c r="I12" s="26" t="s">
        <v>434</v>
      </c>
      <c r="J12" s="26" t="s">
        <v>1032</v>
      </c>
      <c r="K12" s="27" t="s">
        <v>596</v>
      </c>
      <c r="L12" s="29" t="s">
        <v>760</v>
      </c>
      <c r="M12" s="29" t="s">
        <v>760</v>
      </c>
      <c r="N12" s="26" t="s">
        <v>273</v>
      </c>
      <c r="O12" s="27" t="s">
        <v>865</v>
      </c>
      <c r="P12" s="26" t="s">
        <v>497</v>
      </c>
      <c r="Q12" s="27" t="s">
        <v>760</v>
      </c>
      <c r="R12" s="26" t="s">
        <v>760</v>
      </c>
      <c r="S12" s="26" t="s">
        <v>1304</v>
      </c>
      <c r="T12" s="26" t="s">
        <v>1373</v>
      </c>
      <c r="U12" s="29" t="s">
        <v>596</v>
      </c>
      <c r="V12" s="29" t="s">
        <v>1304</v>
      </c>
      <c r="W12" s="32" t="s">
        <v>1261</v>
      </c>
      <c r="X12" s="26" t="s">
        <v>1110</v>
      </c>
      <c r="Y12" s="26" t="s">
        <v>332</v>
      </c>
      <c r="Z12" s="26" t="s">
        <v>669</v>
      </c>
      <c r="AA12" s="26" t="s">
        <v>354</v>
      </c>
      <c r="AB12" s="26" t="s">
        <v>111</v>
      </c>
      <c r="AC12" s="29" t="s">
        <v>669</v>
      </c>
      <c r="AD12" s="26" t="s">
        <v>995</v>
      </c>
      <c r="AE12" s="26" t="s">
        <v>1140</v>
      </c>
      <c r="AF12" s="32" t="s">
        <v>669</v>
      </c>
      <c r="AG12" s="28" t="s">
        <v>397</v>
      </c>
      <c r="AH12" s="28" t="s">
        <v>526</v>
      </c>
      <c r="AI12" s="28" t="s">
        <v>910</v>
      </c>
      <c r="AJ12" s="28" t="s">
        <v>224</v>
      </c>
    </row>
    <row r="13" spans="1:36" s="26" customFormat="1">
      <c r="A13" s="26" t="s">
        <v>726</v>
      </c>
      <c r="B13" s="26" t="s">
        <v>726</v>
      </c>
      <c r="C13" s="26" t="s">
        <v>726</v>
      </c>
      <c r="D13" s="26" t="s">
        <v>726</v>
      </c>
      <c r="E13" s="26" t="s">
        <v>616</v>
      </c>
      <c r="F13" s="26" t="s">
        <v>726</v>
      </c>
      <c r="G13" s="26" t="s">
        <v>859</v>
      </c>
      <c r="H13" s="26" t="s">
        <v>940</v>
      </c>
      <c r="I13" s="26" t="s">
        <v>429</v>
      </c>
      <c r="J13" s="26" t="s">
        <v>1026</v>
      </c>
      <c r="K13" s="27" t="s">
        <v>859</v>
      </c>
      <c r="L13" s="29" t="s">
        <v>726</v>
      </c>
      <c r="M13" s="29" t="s">
        <v>726</v>
      </c>
      <c r="N13" s="26" t="s">
        <v>267</v>
      </c>
      <c r="O13" s="27" t="s">
        <v>1226</v>
      </c>
      <c r="P13" s="26" t="s">
        <v>267</v>
      </c>
      <c r="Q13" s="27" t="s">
        <v>726</v>
      </c>
      <c r="R13" s="26" t="s">
        <v>726</v>
      </c>
      <c r="S13" s="26" t="s">
        <v>726</v>
      </c>
      <c r="T13" s="26" t="s">
        <v>726</v>
      </c>
      <c r="U13" s="29" t="s">
        <v>859</v>
      </c>
      <c r="V13" s="29" t="s">
        <v>726</v>
      </c>
      <c r="W13" s="32" t="s">
        <v>655</v>
      </c>
      <c r="X13" s="26" t="s">
        <v>1512</v>
      </c>
      <c r="Y13" s="26" t="s">
        <v>1369</v>
      </c>
      <c r="Z13" s="26" t="s">
        <v>655</v>
      </c>
      <c r="AA13" s="26" t="s">
        <v>305</v>
      </c>
      <c r="AB13" s="26" t="s">
        <v>106</v>
      </c>
      <c r="AC13" s="29" t="s">
        <v>1513</v>
      </c>
      <c r="AD13" s="26" t="s">
        <v>989</v>
      </c>
      <c r="AE13" s="26" t="s">
        <v>1135</v>
      </c>
      <c r="AF13" s="32" t="s">
        <v>655</v>
      </c>
      <c r="AG13" s="28" t="s">
        <v>391</v>
      </c>
      <c r="AH13" s="28" t="s">
        <v>520</v>
      </c>
      <c r="AI13" s="28" t="s">
        <v>904</v>
      </c>
      <c r="AJ13" s="28" t="s">
        <v>1514</v>
      </c>
    </row>
    <row r="14" spans="1:36" s="29" customFormat="1">
      <c r="A14" s="29" t="s">
        <v>1696</v>
      </c>
      <c r="B14" s="29" t="s">
        <v>1703</v>
      </c>
      <c r="C14" s="29" t="s">
        <v>1696</v>
      </c>
      <c r="D14" s="29" t="s">
        <v>1702</v>
      </c>
      <c r="E14" s="29" t="s">
        <v>1701</v>
      </c>
      <c r="F14" s="29" t="s">
        <v>1700</v>
      </c>
      <c r="G14" s="29" t="s">
        <v>1699</v>
      </c>
      <c r="H14" s="29" t="s">
        <v>1698</v>
      </c>
      <c r="I14" s="30" t="s">
        <v>1697</v>
      </c>
      <c r="J14" s="29" t="s">
        <v>1704</v>
      </c>
      <c r="K14" s="31" t="s">
        <v>1706</v>
      </c>
      <c r="L14" s="29" t="s">
        <v>1738</v>
      </c>
      <c r="M14" s="29" t="s">
        <v>1707</v>
      </c>
      <c r="N14" s="29" t="s">
        <v>1708</v>
      </c>
      <c r="O14" s="31" t="s">
        <v>1710</v>
      </c>
      <c r="P14" s="29" t="s">
        <v>1711</v>
      </c>
      <c r="Q14" s="31" t="s">
        <v>1707</v>
      </c>
      <c r="R14" s="29" t="s">
        <v>1712</v>
      </c>
      <c r="S14" s="31" t="s">
        <v>1710</v>
      </c>
      <c r="T14" s="29" t="s">
        <v>1714</v>
      </c>
      <c r="U14" s="31" t="s">
        <v>1716</v>
      </c>
      <c r="V14" s="29" t="s">
        <v>1740</v>
      </c>
      <c r="W14" s="32" t="s">
        <v>1718</v>
      </c>
      <c r="X14" s="29" t="s">
        <v>1720</v>
      </c>
      <c r="Y14" s="29" t="s">
        <v>1714</v>
      </c>
      <c r="Z14" s="29" t="s">
        <v>1723</v>
      </c>
      <c r="AA14" s="29" t="s">
        <v>1724</v>
      </c>
      <c r="AB14" s="29" t="s">
        <v>1726</v>
      </c>
      <c r="AC14" s="29" t="s">
        <v>1696</v>
      </c>
      <c r="AD14" s="29" t="s">
        <v>1728</v>
      </c>
      <c r="AE14" s="29" t="s">
        <v>1729</v>
      </c>
      <c r="AF14" s="32" t="s">
        <v>1723</v>
      </c>
      <c r="AG14" s="32" t="s">
        <v>1730</v>
      </c>
      <c r="AH14" s="32" t="s">
        <v>1732</v>
      </c>
      <c r="AI14" s="32" t="s">
        <v>1734</v>
      </c>
      <c r="AJ14" s="32" t="s">
        <v>1736</v>
      </c>
    </row>
    <row r="15" spans="1:36" s="26" customFormat="1">
      <c r="A15" s="26" t="s">
        <v>663</v>
      </c>
      <c r="B15" s="26" t="s">
        <v>800</v>
      </c>
      <c r="C15" s="26" t="s">
        <v>801</v>
      </c>
      <c r="D15" s="26" t="s">
        <v>802</v>
      </c>
      <c r="E15" s="26" t="s">
        <v>663</v>
      </c>
      <c r="F15" s="26" t="s">
        <v>803</v>
      </c>
      <c r="G15" s="26" t="s">
        <v>870</v>
      </c>
      <c r="H15" s="26" t="s">
        <v>950</v>
      </c>
      <c r="I15" s="26" t="s">
        <v>439</v>
      </c>
      <c r="J15" s="26" t="s">
        <v>1037</v>
      </c>
      <c r="K15" s="27" t="s">
        <v>802</v>
      </c>
      <c r="L15" s="29" t="s">
        <v>1193</v>
      </c>
      <c r="M15" s="29" t="s">
        <v>1193</v>
      </c>
      <c r="N15" s="26" t="s">
        <v>278</v>
      </c>
      <c r="O15" s="27" t="s">
        <v>950</v>
      </c>
      <c r="P15" s="26" t="s">
        <v>278</v>
      </c>
      <c r="Q15" s="27" t="s">
        <v>154</v>
      </c>
      <c r="R15" s="26" t="s">
        <v>801</v>
      </c>
      <c r="S15" s="26" t="s">
        <v>950</v>
      </c>
      <c r="T15" s="26" t="s">
        <v>1377</v>
      </c>
      <c r="U15" s="29" t="s">
        <v>802</v>
      </c>
      <c r="V15" s="29" t="s">
        <v>950</v>
      </c>
      <c r="W15" s="32" t="s">
        <v>1264</v>
      </c>
      <c r="X15" s="26" t="s">
        <v>476</v>
      </c>
      <c r="Y15" s="26" t="s">
        <v>1377</v>
      </c>
      <c r="Z15" s="26" t="s">
        <v>782</v>
      </c>
      <c r="AA15" s="26" t="s">
        <v>359</v>
      </c>
      <c r="AB15" s="26" t="s">
        <v>115</v>
      </c>
      <c r="AC15" s="29" t="s">
        <v>782</v>
      </c>
      <c r="AD15" s="26" t="s">
        <v>1000</v>
      </c>
      <c r="AE15" s="26" t="s">
        <v>1143</v>
      </c>
      <c r="AF15" s="32" t="s">
        <v>169</v>
      </c>
      <c r="AG15" s="28" t="s">
        <v>402</v>
      </c>
      <c r="AH15" s="28" t="s">
        <v>531</v>
      </c>
      <c r="AI15" s="28" t="s">
        <v>914</v>
      </c>
      <c r="AJ15" s="28" t="s">
        <v>229</v>
      </c>
    </row>
    <row r="16" spans="1:36" s="26" customFormat="1">
      <c r="A16" s="26" t="s">
        <v>731</v>
      </c>
      <c r="B16" s="26" t="s">
        <v>587</v>
      </c>
      <c r="C16" s="26" t="s">
        <v>765</v>
      </c>
      <c r="D16" s="26" t="s">
        <v>603</v>
      </c>
      <c r="E16" s="26" t="s">
        <v>618</v>
      </c>
      <c r="F16" s="26" t="s">
        <v>632</v>
      </c>
      <c r="G16" s="26" t="s">
        <v>868</v>
      </c>
      <c r="H16" s="26" t="s">
        <v>948</v>
      </c>
      <c r="I16" s="26" t="s">
        <v>437</v>
      </c>
      <c r="J16" s="26" t="s">
        <v>1035</v>
      </c>
      <c r="K16" s="27" t="s">
        <v>1071</v>
      </c>
      <c r="L16" s="29" t="s">
        <v>1191</v>
      </c>
      <c r="M16" s="29" t="s">
        <v>765</v>
      </c>
      <c r="N16" s="26" t="s">
        <v>276</v>
      </c>
      <c r="O16" s="27" t="s">
        <v>1233</v>
      </c>
      <c r="P16" s="26" t="s">
        <v>500</v>
      </c>
      <c r="Q16" s="27" t="s">
        <v>765</v>
      </c>
      <c r="R16" s="26" t="s">
        <v>1071</v>
      </c>
      <c r="S16" s="26" t="s">
        <v>1307</v>
      </c>
      <c r="T16" s="26" t="s">
        <v>1233</v>
      </c>
      <c r="U16" s="29" t="s">
        <v>1100</v>
      </c>
      <c r="V16" s="29" t="s">
        <v>1515</v>
      </c>
      <c r="W16" s="32" t="s">
        <v>659</v>
      </c>
      <c r="X16" s="26" t="s">
        <v>1112</v>
      </c>
      <c r="Y16" s="26" t="s">
        <v>1375</v>
      </c>
      <c r="Z16" s="26" t="s">
        <v>659</v>
      </c>
      <c r="AA16" s="26" t="s">
        <v>357</v>
      </c>
      <c r="AB16" s="26" t="s">
        <v>114</v>
      </c>
      <c r="AC16" s="29" t="s">
        <v>1516</v>
      </c>
      <c r="AD16" s="26" t="s">
        <v>998</v>
      </c>
      <c r="AE16" s="26" t="s">
        <v>1141</v>
      </c>
      <c r="AF16" s="32" t="s">
        <v>659</v>
      </c>
      <c r="AG16" s="28" t="s">
        <v>400</v>
      </c>
      <c r="AH16" s="28" t="s">
        <v>529</v>
      </c>
      <c r="AI16" s="28" t="s">
        <v>1517</v>
      </c>
      <c r="AJ16" s="28" t="s">
        <v>227</v>
      </c>
    </row>
    <row r="17" spans="1:36" s="26" customFormat="1">
      <c r="A17" s="26" t="s">
        <v>724</v>
      </c>
      <c r="B17" s="26" t="s">
        <v>583</v>
      </c>
      <c r="C17" s="26" t="s">
        <v>761</v>
      </c>
      <c r="D17" s="26" t="s">
        <v>597</v>
      </c>
      <c r="E17" s="26" t="s">
        <v>614</v>
      </c>
      <c r="F17" s="26" t="s">
        <v>629</v>
      </c>
      <c r="G17" s="26" t="s">
        <v>869</v>
      </c>
      <c r="H17" s="26" t="s">
        <v>949</v>
      </c>
      <c r="I17" s="26" t="s">
        <v>438</v>
      </c>
      <c r="J17" s="26" t="s">
        <v>1036</v>
      </c>
      <c r="K17" s="27" t="s">
        <v>1072</v>
      </c>
      <c r="L17" s="29" t="s">
        <v>1192</v>
      </c>
      <c r="M17" s="29" t="s">
        <v>1346</v>
      </c>
      <c r="N17" s="26" t="s">
        <v>277</v>
      </c>
      <c r="O17" s="27" t="s">
        <v>1234</v>
      </c>
      <c r="P17" s="26" t="s">
        <v>277</v>
      </c>
      <c r="Q17" s="27" t="s">
        <v>1346</v>
      </c>
      <c r="R17" s="26" t="s">
        <v>1346</v>
      </c>
      <c r="S17" s="26" t="s">
        <v>1234</v>
      </c>
      <c r="T17" s="26" t="s">
        <v>1376</v>
      </c>
      <c r="U17" s="29" t="s">
        <v>1072</v>
      </c>
      <c r="V17" s="29" t="s">
        <v>1234</v>
      </c>
      <c r="W17" s="32" t="s">
        <v>654</v>
      </c>
      <c r="X17" s="26" t="s">
        <v>1113</v>
      </c>
      <c r="Y17" s="26" t="s">
        <v>1376</v>
      </c>
      <c r="Z17" s="26" t="s">
        <v>654</v>
      </c>
      <c r="AA17" s="26" t="s">
        <v>358</v>
      </c>
      <c r="AB17" s="26" t="s">
        <v>999</v>
      </c>
      <c r="AC17" s="29" t="s">
        <v>654</v>
      </c>
      <c r="AD17" s="26" t="s">
        <v>999</v>
      </c>
      <c r="AE17" s="26" t="s">
        <v>1142</v>
      </c>
      <c r="AF17" s="32" t="s">
        <v>654</v>
      </c>
      <c r="AG17" s="28" t="s">
        <v>401</v>
      </c>
      <c r="AH17" s="28" t="s">
        <v>530</v>
      </c>
      <c r="AI17" s="28" t="s">
        <v>913</v>
      </c>
      <c r="AJ17" s="28" t="s">
        <v>228</v>
      </c>
    </row>
    <row r="18" spans="1:36" s="29" customFormat="1">
      <c r="A18" s="29" t="s">
        <v>1451</v>
      </c>
      <c r="B18" s="29" t="s">
        <v>1451</v>
      </c>
      <c r="C18" s="29" t="s">
        <v>1451</v>
      </c>
      <c r="D18" s="29" t="s">
        <v>1691</v>
      </c>
      <c r="E18" s="29" t="s">
        <v>1692</v>
      </c>
      <c r="F18" s="29" t="s">
        <v>1693</v>
      </c>
      <c r="G18" s="29" t="s">
        <v>1694</v>
      </c>
      <c r="H18" s="29" t="s">
        <v>1694</v>
      </c>
      <c r="I18" s="29" t="s">
        <v>1695</v>
      </c>
      <c r="J18" s="29" t="s">
        <v>1705</v>
      </c>
      <c r="K18" s="31" t="s">
        <v>1692</v>
      </c>
      <c r="L18" s="29" t="s">
        <v>1739</v>
      </c>
      <c r="M18" s="29" t="s">
        <v>1451</v>
      </c>
      <c r="N18" s="29" t="s">
        <v>1709</v>
      </c>
      <c r="O18" s="31" t="s">
        <v>1709</v>
      </c>
      <c r="P18" s="29" t="s">
        <v>1709</v>
      </c>
      <c r="Q18" s="31" t="s">
        <v>1694</v>
      </c>
      <c r="R18" s="30" t="s">
        <v>1713</v>
      </c>
      <c r="S18" s="29" t="s">
        <v>1709</v>
      </c>
      <c r="T18" s="29" t="s">
        <v>1715</v>
      </c>
      <c r="U18" s="29" t="s">
        <v>1717</v>
      </c>
      <c r="V18" s="29" t="s">
        <v>1709</v>
      </c>
      <c r="W18" s="32" t="s">
        <v>1719</v>
      </c>
      <c r="X18" s="29" t="s">
        <v>1721</v>
      </c>
      <c r="Y18" s="29" t="s">
        <v>1722</v>
      </c>
      <c r="Z18" s="29" t="s">
        <v>1722</v>
      </c>
      <c r="AA18" s="29" t="s">
        <v>1725</v>
      </c>
      <c r="AB18" s="29" t="s">
        <v>1727</v>
      </c>
      <c r="AC18" s="29" t="s">
        <v>1694</v>
      </c>
      <c r="AD18" s="29" t="s">
        <v>1727</v>
      </c>
      <c r="AE18" s="29" t="s">
        <v>1451</v>
      </c>
      <c r="AF18" s="32" t="s">
        <v>1722</v>
      </c>
      <c r="AG18" s="32" t="s">
        <v>1731</v>
      </c>
      <c r="AH18" s="32" t="s">
        <v>1733</v>
      </c>
      <c r="AI18" s="32" t="s">
        <v>1735</v>
      </c>
      <c r="AJ18" s="32" t="s">
        <v>1737</v>
      </c>
    </row>
    <row r="19" spans="1:36" s="26" customFormat="1">
      <c r="A19" s="26" t="s">
        <v>706</v>
      </c>
      <c r="B19" s="26" t="s">
        <v>768</v>
      </c>
      <c r="C19" s="26" t="s">
        <v>668</v>
      </c>
      <c r="D19" s="26" t="s">
        <v>766</v>
      </c>
      <c r="E19" s="26" t="s">
        <v>768</v>
      </c>
      <c r="F19" s="26" t="s">
        <v>768</v>
      </c>
      <c r="G19" s="26" t="s">
        <v>871</v>
      </c>
      <c r="H19" s="26" t="s">
        <v>708</v>
      </c>
      <c r="I19" s="26" t="s">
        <v>767</v>
      </c>
      <c r="J19" s="26" t="s">
        <v>1518</v>
      </c>
      <c r="K19" s="27" t="s">
        <v>768</v>
      </c>
      <c r="L19" s="29" t="s">
        <v>706</v>
      </c>
      <c r="M19" s="29" t="s">
        <v>768</v>
      </c>
      <c r="N19" s="26" t="s">
        <v>768</v>
      </c>
      <c r="O19" s="27" t="s">
        <v>706</v>
      </c>
      <c r="P19" s="26" t="s">
        <v>768</v>
      </c>
      <c r="Q19" s="27" t="s">
        <v>768</v>
      </c>
      <c r="R19" s="26" t="s">
        <v>768</v>
      </c>
      <c r="S19" s="26" t="s">
        <v>706</v>
      </c>
      <c r="T19" s="26" t="s">
        <v>589</v>
      </c>
      <c r="U19" s="29" t="s">
        <v>715</v>
      </c>
      <c r="V19" s="29" t="s">
        <v>589</v>
      </c>
      <c r="W19" s="32" t="s">
        <v>660</v>
      </c>
      <c r="X19" s="26" t="s">
        <v>1114</v>
      </c>
      <c r="Y19" s="26" t="s">
        <v>660</v>
      </c>
      <c r="Z19" s="26" t="s">
        <v>671</v>
      </c>
      <c r="AA19" s="26" t="s">
        <v>671</v>
      </c>
      <c r="AB19" s="26" t="s">
        <v>116</v>
      </c>
      <c r="AC19" s="29" t="s">
        <v>1519</v>
      </c>
      <c r="AD19" s="26" t="s">
        <v>766</v>
      </c>
      <c r="AE19" s="26" t="s">
        <v>1101</v>
      </c>
      <c r="AF19" s="32" t="s">
        <v>388</v>
      </c>
      <c r="AG19" s="28" t="s">
        <v>1520</v>
      </c>
      <c r="AH19" s="28" t="s">
        <v>1521</v>
      </c>
      <c r="AI19" s="28" t="s">
        <v>1522</v>
      </c>
      <c r="AJ19" s="28" t="s">
        <v>230</v>
      </c>
    </row>
    <row r="20" spans="1:36" s="26" customFormat="1">
      <c r="A20" s="26" t="s">
        <v>707</v>
      </c>
      <c r="B20" s="26" t="s">
        <v>588</v>
      </c>
      <c r="C20" s="26" t="s">
        <v>767</v>
      </c>
      <c r="D20" s="26" t="s">
        <v>604</v>
      </c>
      <c r="E20" s="26" t="s">
        <v>589</v>
      </c>
      <c r="F20" s="26" t="s">
        <v>633</v>
      </c>
      <c r="G20" s="26" t="s">
        <v>732</v>
      </c>
      <c r="H20" s="26" t="s">
        <v>951</v>
      </c>
      <c r="I20" s="26" t="s">
        <v>440</v>
      </c>
      <c r="J20" s="26" t="s">
        <v>707</v>
      </c>
      <c r="K20" s="27" t="s">
        <v>633</v>
      </c>
      <c r="L20" s="29" t="s">
        <v>983</v>
      </c>
      <c r="M20" s="29" t="s">
        <v>767</v>
      </c>
      <c r="N20" s="26" t="s">
        <v>732</v>
      </c>
      <c r="O20" s="27" t="s">
        <v>588</v>
      </c>
      <c r="P20" s="26" t="s">
        <v>732</v>
      </c>
      <c r="Q20" s="27" t="s">
        <v>155</v>
      </c>
      <c r="R20" s="26" t="s">
        <v>767</v>
      </c>
      <c r="S20" s="26" t="s">
        <v>588</v>
      </c>
      <c r="T20" s="26" t="s">
        <v>672</v>
      </c>
      <c r="U20" s="29" t="s">
        <v>1001</v>
      </c>
      <c r="V20" s="29" t="s">
        <v>588</v>
      </c>
      <c r="W20" s="32" t="s">
        <v>1265</v>
      </c>
      <c r="X20" s="26" t="s">
        <v>1115</v>
      </c>
      <c r="Y20" s="26" t="s">
        <v>672</v>
      </c>
      <c r="Z20" s="26" t="s">
        <v>672</v>
      </c>
      <c r="AA20" s="26" t="s">
        <v>672</v>
      </c>
      <c r="AB20" s="26" t="s">
        <v>1144</v>
      </c>
      <c r="AC20" s="29" t="s">
        <v>60</v>
      </c>
      <c r="AD20" s="26" t="s">
        <v>1001</v>
      </c>
      <c r="AE20" s="26" t="s">
        <v>1144</v>
      </c>
      <c r="AF20" s="28" t="s">
        <v>389</v>
      </c>
      <c r="AG20" s="28" t="s">
        <v>403</v>
      </c>
      <c r="AH20" s="28" t="s">
        <v>532</v>
      </c>
      <c r="AI20" s="28" t="s">
        <v>915</v>
      </c>
      <c r="AJ20" s="28" t="s">
        <v>243</v>
      </c>
    </row>
    <row r="21" spans="1:36" s="26" customFormat="1">
      <c r="A21" s="26" t="s">
        <v>708</v>
      </c>
      <c r="B21" s="26" t="s">
        <v>707</v>
      </c>
      <c r="C21" s="26" t="s">
        <v>588</v>
      </c>
      <c r="D21" s="26" t="s">
        <v>589</v>
      </c>
      <c r="E21" s="26" t="s">
        <v>668</v>
      </c>
      <c r="F21" s="26" t="s">
        <v>707</v>
      </c>
      <c r="G21" s="26" t="s">
        <v>589</v>
      </c>
      <c r="H21" s="26" t="s">
        <v>589</v>
      </c>
      <c r="I21" s="26" t="s">
        <v>1101</v>
      </c>
      <c r="J21" s="26" t="s">
        <v>768</v>
      </c>
      <c r="K21" s="27" t="s">
        <v>1073</v>
      </c>
      <c r="L21" s="29" t="s">
        <v>768</v>
      </c>
      <c r="M21" s="29" t="s">
        <v>1101</v>
      </c>
      <c r="N21" s="26" t="s">
        <v>589</v>
      </c>
      <c r="O21" s="27" t="s">
        <v>708</v>
      </c>
      <c r="P21" s="26" t="s">
        <v>589</v>
      </c>
      <c r="Q21" s="27" t="s">
        <v>715</v>
      </c>
      <c r="R21" s="26" t="s">
        <v>767</v>
      </c>
      <c r="S21" s="26" t="s">
        <v>708</v>
      </c>
      <c r="T21" s="26" t="s">
        <v>1073</v>
      </c>
      <c r="U21" s="29" t="s">
        <v>1144</v>
      </c>
      <c r="V21" s="29" t="s">
        <v>708</v>
      </c>
      <c r="W21" s="32" t="s">
        <v>1266</v>
      </c>
      <c r="X21" s="26" t="s">
        <v>1523</v>
      </c>
      <c r="Y21" s="26" t="s">
        <v>1378</v>
      </c>
      <c r="Z21" s="26" t="s">
        <v>660</v>
      </c>
      <c r="AA21" s="26" t="s">
        <v>660</v>
      </c>
      <c r="AB21" s="26" t="s">
        <v>1002</v>
      </c>
      <c r="AC21" s="26" t="s">
        <v>1002</v>
      </c>
      <c r="AD21" s="26" t="s">
        <v>1002</v>
      </c>
      <c r="AE21" s="26" t="s">
        <v>1001</v>
      </c>
      <c r="AF21" s="28" t="s">
        <v>388</v>
      </c>
      <c r="AG21" s="28" t="s">
        <v>1524</v>
      </c>
      <c r="AH21" s="28" t="s">
        <v>1525</v>
      </c>
      <c r="AI21" s="28" t="s">
        <v>1526</v>
      </c>
      <c r="AJ21" s="28" t="s">
        <v>231</v>
      </c>
    </row>
    <row r="22" spans="1:36" s="26" customFormat="1">
      <c r="A22" s="26" t="s">
        <v>709</v>
      </c>
      <c r="B22" s="26" t="s">
        <v>590</v>
      </c>
      <c r="C22" s="26" t="s">
        <v>471</v>
      </c>
      <c r="D22" s="26" t="s">
        <v>635</v>
      </c>
      <c r="E22" s="26" t="s">
        <v>855</v>
      </c>
      <c r="F22" s="26" t="s">
        <v>634</v>
      </c>
      <c r="G22" s="26" t="s">
        <v>872</v>
      </c>
      <c r="H22" s="26" t="s">
        <v>952</v>
      </c>
      <c r="I22" s="26" t="s">
        <v>441</v>
      </c>
      <c r="J22" s="26" t="s">
        <v>1038</v>
      </c>
      <c r="K22" s="27" t="s">
        <v>1074</v>
      </c>
      <c r="L22" s="26" t="s">
        <v>1194</v>
      </c>
      <c r="M22" s="26" t="s">
        <v>1347</v>
      </c>
      <c r="N22" s="26" t="s">
        <v>279</v>
      </c>
      <c r="O22" s="27" t="s">
        <v>1235</v>
      </c>
      <c r="P22" s="26" t="s">
        <v>279</v>
      </c>
      <c r="Q22" s="27" t="s">
        <v>156</v>
      </c>
      <c r="R22" s="26" t="s">
        <v>1347</v>
      </c>
      <c r="S22" s="26" t="s">
        <v>1329</v>
      </c>
      <c r="T22" s="26" t="s">
        <v>1379</v>
      </c>
      <c r="U22" s="26" t="s">
        <v>33</v>
      </c>
      <c r="V22" s="26" t="s">
        <v>92</v>
      </c>
      <c r="W22" s="28" t="s">
        <v>1267</v>
      </c>
      <c r="X22" s="26" t="s">
        <v>1116</v>
      </c>
      <c r="Y22" s="26" t="s">
        <v>1379</v>
      </c>
      <c r="Z22" s="26" t="s">
        <v>673</v>
      </c>
      <c r="AA22" s="26" t="s">
        <v>360</v>
      </c>
      <c r="AB22" s="26" t="s">
        <v>117</v>
      </c>
      <c r="AC22" s="26" t="s">
        <v>61</v>
      </c>
      <c r="AD22" s="26" t="s">
        <v>1003</v>
      </c>
      <c r="AE22" s="26" t="s">
        <v>1145</v>
      </c>
      <c r="AF22" s="28" t="s">
        <v>171</v>
      </c>
      <c r="AG22" s="28" t="s">
        <v>404</v>
      </c>
      <c r="AH22" s="28" t="s">
        <v>533</v>
      </c>
      <c r="AI22" s="28" t="s">
        <v>916</v>
      </c>
      <c r="AJ22" s="28" t="s">
        <v>262</v>
      </c>
    </row>
    <row r="23" spans="1:36">
      <c r="A23" t="s">
        <v>710</v>
      </c>
      <c r="B23" t="s">
        <v>1527</v>
      </c>
      <c r="C23" t="s">
        <v>1528</v>
      </c>
      <c r="D23" t="s">
        <v>1527</v>
      </c>
      <c r="E23" t="s">
        <v>1102</v>
      </c>
      <c r="F23" t="s">
        <v>589</v>
      </c>
      <c r="G23" t="s">
        <v>769</v>
      </c>
      <c r="H23" t="s">
        <v>1529</v>
      </c>
      <c r="I23" t="s">
        <v>442</v>
      </c>
      <c r="J23" t="s">
        <v>1530</v>
      </c>
      <c r="K23" s="24" t="s">
        <v>589</v>
      </c>
      <c r="L23" t="s">
        <v>1530</v>
      </c>
      <c r="M23" t="s">
        <v>1530</v>
      </c>
      <c r="N23" t="s">
        <v>280</v>
      </c>
      <c r="O23" s="24" t="s">
        <v>1530</v>
      </c>
      <c r="P23" t="s">
        <v>280</v>
      </c>
      <c r="Q23" s="24" t="s">
        <v>589</v>
      </c>
      <c r="R23" t="s">
        <v>589</v>
      </c>
      <c r="S23" t="s">
        <v>1530</v>
      </c>
      <c r="T23" t="s">
        <v>1531</v>
      </c>
      <c r="U23" t="s">
        <v>1532</v>
      </c>
      <c r="V23" t="s">
        <v>1531</v>
      </c>
      <c r="W23" s="22" t="s">
        <v>389</v>
      </c>
      <c r="X23" t="s">
        <v>1533</v>
      </c>
      <c r="Y23" t="s">
        <v>1534</v>
      </c>
      <c r="Z23" t="s">
        <v>1535</v>
      </c>
      <c r="AA23" t="s">
        <v>62</v>
      </c>
      <c r="AB23" t="s">
        <v>118</v>
      </c>
      <c r="AC23" t="s">
        <v>155</v>
      </c>
      <c r="AD23" t="s">
        <v>589</v>
      </c>
      <c r="AE23" t="s">
        <v>1146</v>
      </c>
      <c r="AF23" s="22" t="s">
        <v>170</v>
      </c>
      <c r="AG23" s="22" t="s">
        <v>405</v>
      </c>
      <c r="AH23" s="22" t="s">
        <v>1536</v>
      </c>
      <c r="AI23" s="22" t="s">
        <v>1537</v>
      </c>
      <c r="AJ23" s="22" t="s">
        <v>232</v>
      </c>
    </row>
    <row r="24" spans="1:36">
      <c r="A24" t="s">
        <v>770</v>
      </c>
      <c r="B24" t="s">
        <v>591</v>
      </c>
      <c r="C24" t="s">
        <v>771</v>
      </c>
      <c r="D24" t="s">
        <v>605</v>
      </c>
      <c r="E24" t="s">
        <v>619</v>
      </c>
      <c r="F24" t="s">
        <v>605</v>
      </c>
      <c r="G24" t="s">
        <v>873</v>
      </c>
      <c r="H24" t="s">
        <v>953</v>
      </c>
      <c r="I24" t="s">
        <v>443</v>
      </c>
      <c r="J24" t="s">
        <v>1039</v>
      </c>
      <c r="K24" s="24" t="s">
        <v>873</v>
      </c>
      <c r="L24" t="s">
        <v>1195</v>
      </c>
      <c r="M24" t="s">
        <v>771</v>
      </c>
      <c r="N24" t="s">
        <v>1236</v>
      </c>
      <c r="O24" s="24" t="s">
        <v>1236</v>
      </c>
      <c r="P24" t="s">
        <v>1236</v>
      </c>
      <c r="Q24" s="24" t="s">
        <v>1103</v>
      </c>
      <c r="R24" t="s">
        <v>771</v>
      </c>
      <c r="S24" t="s">
        <v>873</v>
      </c>
      <c r="T24" t="s">
        <v>873</v>
      </c>
      <c r="U24" t="s">
        <v>34</v>
      </c>
      <c r="V24" t="s">
        <v>873</v>
      </c>
      <c r="W24" s="22" t="s">
        <v>1268</v>
      </c>
      <c r="X24" t="s">
        <v>1538</v>
      </c>
      <c r="Y24" t="s">
        <v>1268</v>
      </c>
      <c r="Z24" t="s">
        <v>674</v>
      </c>
      <c r="AA24" t="s">
        <v>1268</v>
      </c>
      <c r="AB24" t="s">
        <v>119</v>
      </c>
      <c r="AC24" t="s">
        <v>1539</v>
      </c>
      <c r="AD24" t="s">
        <v>984</v>
      </c>
      <c r="AE24" t="s">
        <v>1147</v>
      </c>
      <c r="AF24" s="22" t="s">
        <v>172</v>
      </c>
      <c r="AG24" s="22" t="s">
        <v>406</v>
      </c>
      <c r="AH24" s="22" t="s">
        <v>534</v>
      </c>
      <c r="AI24" s="22" t="s">
        <v>917</v>
      </c>
      <c r="AJ24" s="22" t="s">
        <v>233</v>
      </c>
    </row>
    <row r="25" spans="1:36">
      <c r="A25" t="s">
        <v>722</v>
      </c>
      <c r="B25" t="s">
        <v>804</v>
      </c>
      <c r="C25" t="s">
        <v>472</v>
      </c>
      <c r="D25" t="s">
        <v>805</v>
      </c>
      <c r="E25" t="s">
        <v>806</v>
      </c>
      <c r="F25" t="s">
        <v>805</v>
      </c>
      <c r="G25" t="s">
        <v>874</v>
      </c>
      <c r="H25" t="s">
        <v>954</v>
      </c>
      <c r="I25" t="s">
        <v>444</v>
      </c>
      <c r="J25" t="s">
        <v>1040</v>
      </c>
      <c r="K25" s="24" t="s">
        <v>1075</v>
      </c>
      <c r="L25" t="s">
        <v>1196</v>
      </c>
      <c r="M25" t="s">
        <v>1348</v>
      </c>
      <c r="N25" t="s">
        <v>281</v>
      </c>
      <c r="O25" s="24" t="s">
        <v>1237</v>
      </c>
      <c r="P25" t="s">
        <v>501</v>
      </c>
      <c r="Q25" s="24" t="s">
        <v>157</v>
      </c>
      <c r="R25" t="s">
        <v>309</v>
      </c>
      <c r="S25" t="s">
        <v>1308</v>
      </c>
      <c r="T25" t="s">
        <v>1380</v>
      </c>
      <c r="U25" t="s">
        <v>35</v>
      </c>
      <c r="V25" t="s">
        <v>1308</v>
      </c>
      <c r="W25" s="22" t="s">
        <v>1269</v>
      </c>
      <c r="X25" t="s">
        <v>1117</v>
      </c>
      <c r="Y25" t="s">
        <v>334</v>
      </c>
      <c r="Z25" t="s">
        <v>675</v>
      </c>
      <c r="AA25" t="s">
        <v>361</v>
      </c>
      <c r="AB25" t="s">
        <v>120</v>
      </c>
      <c r="AC25" t="s">
        <v>63</v>
      </c>
      <c r="AD25" t="s">
        <v>1004</v>
      </c>
      <c r="AE25" t="s">
        <v>1148</v>
      </c>
      <c r="AF25" s="22" t="s">
        <v>173</v>
      </c>
      <c r="AG25" s="22" t="s">
        <v>407</v>
      </c>
      <c r="AH25" s="22" t="s">
        <v>535</v>
      </c>
      <c r="AI25" s="22" t="s">
        <v>918</v>
      </c>
      <c r="AJ25" s="22" t="s">
        <v>234</v>
      </c>
    </row>
    <row r="26" spans="1:36">
      <c r="A26" t="s">
        <v>718</v>
      </c>
      <c r="B26">
        <v>0</v>
      </c>
      <c r="C26" t="s">
        <v>473</v>
      </c>
      <c r="D26">
        <v>0</v>
      </c>
      <c r="E26" t="s">
        <v>807</v>
      </c>
      <c r="F26">
        <v>0</v>
      </c>
      <c r="G26" t="s">
        <v>875</v>
      </c>
      <c r="H26" t="s">
        <v>955</v>
      </c>
      <c r="I26" t="s">
        <v>445</v>
      </c>
      <c r="J26" t="s">
        <v>1041</v>
      </c>
      <c r="K26" s="24" t="s">
        <v>1098</v>
      </c>
      <c r="L26" t="s">
        <v>1197</v>
      </c>
      <c r="M26" t="s">
        <v>1349</v>
      </c>
      <c r="N26" t="s">
        <v>282</v>
      </c>
      <c r="O26" s="24" t="s">
        <v>1238</v>
      </c>
      <c r="P26" t="s">
        <v>282</v>
      </c>
      <c r="Q26" s="24" t="s">
        <v>158</v>
      </c>
      <c r="R26" t="s">
        <v>310</v>
      </c>
      <c r="S26" t="s">
        <v>1309</v>
      </c>
      <c r="T26" t="s">
        <v>1381</v>
      </c>
      <c r="U26" t="s">
        <v>36</v>
      </c>
      <c r="V26" t="s">
        <v>1309</v>
      </c>
      <c r="W26" s="22" t="s">
        <v>1270</v>
      </c>
      <c r="X26" t="s">
        <v>1118</v>
      </c>
      <c r="Y26" t="s">
        <v>335</v>
      </c>
      <c r="Z26" t="s">
        <v>676</v>
      </c>
      <c r="AA26" t="s">
        <v>362</v>
      </c>
      <c r="AB26" t="s">
        <v>121</v>
      </c>
      <c r="AC26" t="s">
        <v>64</v>
      </c>
      <c r="AD26" t="s">
        <v>1005</v>
      </c>
      <c r="AE26" t="s">
        <v>1149</v>
      </c>
      <c r="AF26" s="22" t="s">
        <v>174</v>
      </c>
      <c r="AG26" s="22" t="s">
        <v>408</v>
      </c>
      <c r="AH26" s="22" t="s">
        <v>538</v>
      </c>
      <c r="AI26" s="22" t="s">
        <v>919</v>
      </c>
      <c r="AJ26" s="22" t="s">
        <v>235</v>
      </c>
    </row>
    <row r="27" spans="1:36">
      <c r="A27" t="s">
        <v>719</v>
      </c>
      <c r="B27" t="s">
        <v>808</v>
      </c>
      <c r="C27" t="s">
        <v>474</v>
      </c>
      <c r="D27" t="s">
        <v>606</v>
      </c>
      <c r="E27" t="s">
        <v>620</v>
      </c>
      <c r="F27" t="s">
        <v>809</v>
      </c>
      <c r="G27" t="s">
        <v>876</v>
      </c>
      <c r="H27" t="s">
        <v>956</v>
      </c>
      <c r="I27" t="s">
        <v>446</v>
      </c>
      <c r="J27" t="s">
        <v>1042</v>
      </c>
      <c r="K27" s="24" t="s">
        <v>1076</v>
      </c>
      <c r="L27" t="s">
        <v>1198</v>
      </c>
      <c r="M27" t="s">
        <v>1350</v>
      </c>
      <c r="N27" t="s">
        <v>283</v>
      </c>
      <c r="O27" s="24" t="s">
        <v>1239</v>
      </c>
      <c r="P27" t="s">
        <v>502</v>
      </c>
      <c r="Q27" s="24" t="s">
        <v>159</v>
      </c>
      <c r="R27" t="s">
        <v>1350</v>
      </c>
      <c r="S27" t="s">
        <v>1310</v>
      </c>
      <c r="T27" t="s">
        <v>1382</v>
      </c>
      <c r="U27" t="s">
        <v>37</v>
      </c>
      <c r="V27" t="s">
        <v>93</v>
      </c>
      <c r="W27" s="22" t="s">
        <v>1271</v>
      </c>
      <c r="X27" t="s">
        <v>1119</v>
      </c>
      <c r="Y27" t="s">
        <v>1382</v>
      </c>
      <c r="Z27" t="s">
        <v>677</v>
      </c>
      <c r="AA27" t="s">
        <v>363</v>
      </c>
      <c r="AB27" t="s">
        <v>122</v>
      </c>
      <c r="AC27" t="s">
        <v>65</v>
      </c>
      <c r="AD27" t="s">
        <v>1006</v>
      </c>
      <c r="AE27" t="s">
        <v>1150</v>
      </c>
      <c r="AF27" s="22" t="s">
        <v>175</v>
      </c>
      <c r="AG27" s="22" t="s">
        <v>409</v>
      </c>
      <c r="AH27" s="22" t="s">
        <v>539</v>
      </c>
      <c r="AI27" s="22" t="s">
        <v>920</v>
      </c>
      <c r="AJ27" s="22" t="s">
        <v>244</v>
      </c>
    </row>
    <row r="28" spans="1:36">
      <c r="A28" t="s">
        <v>720</v>
      </c>
      <c r="B28" t="s">
        <v>810</v>
      </c>
      <c r="C28" t="s">
        <v>481</v>
      </c>
      <c r="D28" t="s">
        <v>705</v>
      </c>
      <c r="E28" t="s">
        <v>621</v>
      </c>
      <c r="F28" t="s">
        <v>811</v>
      </c>
      <c r="G28" t="s">
        <v>877</v>
      </c>
      <c r="H28" t="s">
        <v>957</v>
      </c>
      <c r="I28" t="s">
        <v>447</v>
      </c>
      <c r="J28" t="s">
        <v>1043</v>
      </c>
      <c r="K28" s="24" t="s">
        <v>1077</v>
      </c>
      <c r="L28" t="s">
        <v>1199</v>
      </c>
      <c r="M28" t="s">
        <v>1351</v>
      </c>
      <c r="N28" t="s">
        <v>284</v>
      </c>
      <c r="O28" s="24" t="s">
        <v>1240</v>
      </c>
      <c r="P28" t="s">
        <v>284</v>
      </c>
      <c r="Q28" s="24" t="s">
        <v>1351</v>
      </c>
      <c r="R28" t="s">
        <v>1351</v>
      </c>
      <c r="S28" t="s">
        <v>1311</v>
      </c>
      <c r="T28" t="s">
        <v>1383</v>
      </c>
      <c r="U28" t="s">
        <v>38</v>
      </c>
      <c r="V28" t="s">
        <v>94</v>
      </c>
      <c r="W28" s="22" t="s">
        <v>1272</v>
      </c>
      <c r="X28" t="s">
        <v>1120</v>
      </c>
      <c r="Y28" t="s">
        <v>1383</v>
      </c>
      <c r="Z28" t="s">
        <v>678</v>
      </c>
      <c r="AA28" t="s">
        <v>364</v>
      </c>
      <c r="AB28" t="s">
        <v>123</v>
      </c>
      <c r="AC28" t="s">
        <v>66</v>
      </c>
      <c r="AD28" t="s">
        <v>1007</v>
      </c>
      <c r="AE28" t="s">
        <v>1151</v>
      </c>
      <c r="AF28" s="22" t="s">
        <v>176</v>
      </c>
      <c r="AG28" s="22" t="s">
        <v>410</v>
      </c>
      <c r="AH28" s="22" t="s">
        <v>540</v>
      </c>
      <c r="AI28" s="22" t="s">
        <v>921</v>
      </c>
      <c r="AJ28" s="22" t="s">
        <v>245</v>
      </c>
    </row>
    <row r="29" spans="1:36">
      <c r="A29" t="s">
        <v>1452</v>
      </c>
      <c r="B29" t="s">
        <v>1540</v>
      </c>
      <c r="C29" t="s">
        <v>1541</v>
      </c>
      <c r="D29" t="s">
        <v>1542</v>
      </c>
      <c r="E29" t="s">
        <v>1543</v>
      </c>
      <c r="F29" t="s">
        <v>1544</v>
      </c>
      <c r="G29" t="s">
        <v>1545</v>
      </c>
      <c r="H29" t="s">
        <v>1546</v>
      </c>
      <c r="I29" t="s">
        <v>1547</v>
      </c>
      <c r="J29" t="s">
        <v>1548</v>
      </c>
      <c r="K29" s="24" t="s">
        <v>1549</v>
      </c>
      <c r="L29" t="s">
        <v>1550</v>
      </c>
      <c r="M29" t="s">
        <v>1551</v>
      </c>
      <c r="N29" t="s">
        <v>1552</v>
      </c>
      <c r="O29" s="24" t="s">
        <v>1553</v>
      </c>
      <c r="P29" t="s">
        <v>1554</v>
      </c>
      <c r="Q29" s="24" t="s">
        <v>1555</v>
      </c>
      <c r="R29" t="s">
        <v>311</v>
      </c>
      <c r="S29" t="s">
        <v>1556</v>
      </c>
      <c r="T29" t="s">
        <v>1556</v>
      </c>
      <c r="U29" t="s">
        <v>1557</v>
      </c>
      <c r="V29" t="s">
        <v>1558</v>
      </c>
      <c r="W29" s="22" t="s">
        <v>1559</v>
      </c>
      <c r="X29" t="s">
        <v>1560</v>
      </c>
      <c r="Y29" t="s">
        <v>1561</v>
      </c>
      <c r="Z29" t="s">
        <v>1562</v>
      </c>
      <c r="AA29" t="s">
        <v>1563</v>
      </c>
      <c r="AB29" t="s">
        <v>1564</v>
      </c>
      <c r="AC29" t="s">
        <v>1565</v>
      </c>
      <c r="AD29" t="s">
        <v>1008</v>
      </c>
      <c r="AE29" t="s">
        <v>1152</v>
      </c>
      <c r="AF29" s="22" t="s">
        <v>1566</v>
      </c>
      <c r="AG29" s="22" t="s">
        <v>1567</v>
      </c>
      <c r="AH29" s="22" t="s">
        <v>1568</v>
      </c>
      <c r="AI29" s="22" t="s">
        <v>1569</v>
      </c>
      <c r="AJ29" s="22" t="s">
        <v>1570</v>
      </c>
    </row>
    <row r="30" spans="1:36">
      <c r="A30" t="s">
        <v>721</v>
      </c>
      <c r="B30" t="s">
        <v>772</v>
      </c>
      <c r="C30" t="s">
        <v>772</v>
      </c>
      <c r="D30" t="s">
        <v>721</v>
      </c>
      <c r="E30" t="s">
        <v>772</v>
      </c>
      <c r="F30" t="s">
        <v>721</v>
      </c>
      <c r="G30" t="s">
        <v>878</v>
      </c>
      <c r="H30" t="s">
        <v>958</v>
      </c>
      <c r="I30" t="s">
        <v>448</v>
      </c>
      <c r="J30" t="s">
        <v>1044</v>
      </c>
      <c r="K30" s="24" t="s">
        <v>1571</v>
      </c>
      <c r="L30" t="s">
        <v>772</v>
      </c>
      <c r="M30" t="s">
        <v>772</v>
      </c>
      <c r="N30" t="s">
        <v>285</v>
      </c>
      <c r="O30" s="24" t="s">
        <v>772</v>
      </c>
      <c r="P30" t="s">
        <v>285</v>
      </c>
      <c r="Q30" s="24" t="s">
        <v>721</v>
      </c>
      <c r="R30" t="s">
        <v>772</v>
      </c>
      <c r="S30" t="s">
        <v>772</v>
      </c>
      <c r="T30" t="s">
        <v>772</v>
      </c>
      <c r="U30" t="s">
        <v>39</v>
      </c>
      <c r="V30" t="s">
        <v>772</v>
      </c>
      <c r="W30" s="22" t="s">
        <v>661</v>
      </c>
      <c r="X30" t="s">
        <v>1121</v>
      </c>
      <c r="Y30" t="s">
        <v>1384</v>
      </c>
      <c r="Z30" t="s">
        <v>661</v>
      </c>
      <c r="AA30" t="s">
        <v>365</v>
      </c>
      <c r="AB30" t="s">
        <v>721</v>
      </c>
      <c r="AC30" t="s">
        <v>721</v>
      </c>
      <c r="AD30" t="s">
        <v>721</v>
      </c>
      <c r="AE30" t="s">
        <v>1572</v>
      </c>
      <c r="AF30" s="22" t="s">
        <v>661</v>
      </c>
      <c r="AG30" s="22" t="s">
        <v>411</v>
      </c>
      <c r="AH30" s="22" t="s">
        <v>541</v>
      </c>
      <c r="AI30" s="22" t="s">
        <v>1573</v>
      </c>
      <c r="AJ30" s="22" t="s">
        <v>236</v>
      </c>
    </row>
    <row r="31" spans="1:36">
      <c r="A31" t="s">
        <v>1417</v>
      </c>
      <c r="B31" t="s">
        <v>1417</v>
      </c>
      <c r="C31" t="s">
        <v>1418</v>
      </c>
      <c r="D31" t="s">
        <v>1417</v>
      </c>
      <c r="E31" t="s">
        <v>1419</v>
      </c>
      <c r="F31" t="s">
        <v>1417</v>
      </c>
      <c r="G31" t="s">
        <v>1420</v>
      </c>
      <c r="H31" t="s">
        <v>1421</v>
      </c>
      <c r="I31" t="s">
        <v>1422</v>
      </c>
      <c r="J31" t="s">
        <v>1423</v>
      </c>
      <c r="K31" s="24" t="s">
        <v>1424</v>
      </c>
      <c r="L31" t="s">
        <v>1425</v>
      </c>
      <c r="M31" t="s">
        <v>1426</v>
      </c>
      <c r="N31" t="s">
        <v>1427</v>
      </c>
      <c r="O31" s="24" t="s">
        <v>1428</v>
      </c>
      <c r="P31" t="s">
        <v>1429</v>
      </c>
      <c r="Q31" s="24" t="s">
        <v>1430</v>
      </c>
      <c r="R31" t="s">
        <v>1431</v>
      </c>
      <c r="S31" t="s">
        <v>1432</v>
      </c>
      <c r="T31" t="s">
        <v>1433</v>
      </c>
      <c r="U31" t="s">
        <v>1434</v>
      </c>
      <c r="V31" t="s">
        <v>1435</v>
      </c>
      <c r="W31" s="22" t="s">
        <v>1436</v>
      </c>
      <c r="X31" t="s">
        <v>1437</v>
      </c>
      <c r="Y31" t="s">
        <v>1436</v>
      </c>
      <c r="Z31" t="s">
        <v>1438</v>
      </c>
      <c r="AA31" t="s">
        <v>1439</v>
      </c>
      <c r="AB31" t="s">
        <v>1440</v>
      </c>
      <c r="AC31" t="s">
        <v>1441</v>
      </c>
      <c r="AD31" t="s">
        <v>1442</v>
      </c>
      <c r="AE31" t="s">
        <v>1443</v>
      </c>
      <c r="AF31" s="22" t="s">
        <v>1444</v>
      </c>
      <c r="AG31" s="22" t="s">
        <v>1445</v>
      </c>
      <c r="AH31" s="22" t="s">
        <v>1446</v>
      </c>
      <c r="AI31" s="22" t="s">
        <v>1447</v>
      </c>
      <c r="AJ31" s="22" t="s">
        <v>1448</v>
      </c>
    </row>
    <row r="32" spans="1:36">
      <c r="A32" t="s">
        <v>776</v>
      </c>
      <c r="B32" t="s">
        <v>812</v>
      </c>
      <c r="C32" t="s">
        <v>777</v>
      </c>
      <c r="D32" t="s">
        <v>813</v>
      </c>
      <c r="E32" t="s">
        <v>814</v>
      </c>
      <c r="F32" t="s">
        <v>815</v>
      </c>
      <c r="G32" t="s">
        <v>879</v>
      </c>
      <c r="H32" t="s">
        <v>959</v>
      </c>
      <c r="I32" t="s">
        <v>449</v>
      </c>
      <c r="J32" t="s">
        <v>1045</v>
      </c>
      <c r="K32" s="24" t="s">
        <v>1078</v>
      </c>
      <c r="L32" t="s">
        <v>1200</v>
      </c>
      <c r="M32" t="s">
        <v>1352</v>
      </c>
      <c r="N32" t="s">
        <v>286</v>
      </c>
      <c r="O32" s="24" t="s">
        <v>1241</v>
      </c>
      <c r="P32" t="s">
        <v>503</v>
      </c>
      <c r="Q32" s="24" t="s">
        <v>160</v>
      </c>
      <c r="R32" t="s">
        <v>312</v>
      </c>
      <c r="S32" t="s">
        <v>1312</v>
      </c>
      <c r="T32" t="s">
        <v>0</v>
      </c>
      <c r="U32" t="s">
        <v>40</v>
      </c>
      <c r="V32" t="s">
        <v>95</v>
      </c>
      <c r="W32" s="22" t="s">
        <v>1273</v>
      </c>
      <c r="X32" t="s">
        <v>477</v>
      </c>
      <c r="Y32" t="s">
        <v>0</v>
      </c>
      <c r="Z32" t="s">
        <v>679</v>
      </c>
      <c r="AA32" t="s">
        <v>366</v>
      </c>
      <c r="AB32" t="s">
        <v>124</v>
      </c>
      <c r="AC32" t="s">
        <v>67</v>
      </c>
      <c r="AD32" t="s">
        <v>1009</v>
      </c>
      <c r="AE32" t="s">
        <v>1153</v>
      </c>
      <c r="AF32" s="22" t="s">
        <v>177</v>
      </c>
      <c r="AG32" s="22" t="s">
        <v>412</v>
      </c>
      <c r="AH32" s="22" t="s">
        <v>542</v>
      </c>
      <c r="AI32" s="22" t="s">
        <v>922</v>
      </c>
      <c r="AJ32" s="22" t="s">
        <v>237</v>
      </c>
    </row>
    <row r="33" spans="1:36">
      <c r="A33" t="s">
        <v>664</v>
      </c>
      <c r="B33" t="s">
        <v>816</v>
      </c>
      <c r="C33" t="s">
        <v>778</v>
      </c>
      <c r="D33" t="s">
        <v>817</v>
      </c>
      <c r="E33" t="s">
        <v>622</v>
      </c>
      <c r="F33" t="s">
        <v>818</v>
      </c>
      <c r="G33" t="s">
        <v>880</v>
      </c>
      <c r="H33" t="s">
        <v>960</v>
      </c>
      <c r="I33" t="s">
        <v>450</v>
      </c>
      <c r="J33" t="s">
        <v>1046</v>
      </c>
      <c r="K33" s="24" t="s">
        <v>1079</v>
      </c>
      <c r="L33" t="s">
        <v>1222</v>
      </c>
      <c r="M33" t="s">
        <v>1353</v>
      </c>
      <c r="N33" t="s">
        <v>287</v>
      </c>
      <c r="O33" s="24" t="s">
        <v>1242</v>
      </c>
      <c r="P33" t="s">
        <v>504</v>
      </c>
      <c r="Q33" s="24" t="s">
        <v>161</v>
      </c>
      <c r="R33" t="s">
        <v>313</v>
      </c>
      <c r="S33" t="s">
        <v>1313</v>
      </c>
      <c r="T33" t="s">
        <v>1</v>
      </c>
      <c r="U33" t="s">
        <v>41</v>
      </c>
      <c r="V33" t="s">
        <v>96</v>
      </c>
      <c r="W33" s="22" t="s">
        <v>1274</v>
      </c>
      <c r="X33" t="s">
        <v>1122</v>
      </c>
      <c r="Y33" t="s">
        <v>336</v>
      </c>
      <c r="Z33" t="s">
        <v>680</v>
      </c>
      <c r="AA33" t="s">
        <v>367</v>
      </c>
      <c r="AB33" t="s">
        <v>125</v>
      </c>
      <c r="AC33" t="s">
        <v>68</v>
      </c>
      <c r="AD33" t="s">
        <v>1010</v>
      </c>
      <c r="AE33" t="s">
        <v>1154</v>
      </c>
      <c r="AF33" s="22" t="s">
        <v>178</v>
      </c>
      <c r="AG33" s="22" t="s">
        <v>413</v>
      </c>
      <c r="AH33" s="22" t="s">
        <v>543</v>
      </c>
      <c r="AI33" s="22" t="s">
        <v>923</v>
      </c>
      <c r="AJ33" s="22" t="s">
        <v>246</v>
      </c>
    </row>
    <row r="34" spans="1:36">
      <c r="A34" t="s">
        <v>779</v>
      </c>
      <c r="B34" t="s">
        <v>819</v>
      </c>
      <c r="C34" t="s">
        <v>780</v>
      </c>
      <c r="D34" t="s">
        <v>820</v>
      </c>
      <c r="E34" t="s">
        <v>821</v>
      </c>
      <c r="F34" t="s">
        <v>822</v>
      </c>
      <c r="G34" t="s">
        <v>881</v>
      </c>
      <c r="H34" t="s">
        <v>961</v>
      </c>
      <c r="I34" t="s">
        <v>451</v>
      </c>
      <c r="J34" t="s">
        <v>1047</v>
      </c>
      <c r="K34" s="24" t="s">
        <v>1080</v>
      </c>
      <c r="L34" t="s">
        <v>1201</v>
      </c>
      <c r="M34" t="s">
        <v>1354</v>
      </c>
      <c r="N34" t="s">
        <v>288</v>
      </c>
      <c r="O34" s="24" t="s">
        <v>1243</v>
      </c>
      <c r="P34" t="s">
        <v>505</v>
      </c>
      <c r="Q34" s="24" t="s">
        <v>162</v>
      </c>
      <c r="R34" t="s">
        <v>314</v>
      </c>
      <c r="S34" t="s">
        <v>1314</v>
      </c>
      <c r="T34" t="s">
        <v>2</v>
      </c>
      <c r="U34" t="s">
        <v>42</v>
      </c>
      <c r="V34" t="s">
        <v>97</v>
      </c>
      <c r="W34" s="22" t="s">
        <v>1275</v>
      </c>
      <c r="X34" t="s">
        <v>478</v>
      </c>
      <c r="Y34" t="s">
        <v>337</v>
      </c>
      <c r="Z34" t="s">
        <v>681</v>
      </c>
      <c r="AA34" t="s">
        <v>368</v>
      </c>
      <c r="AB34" t="s">
        <v>126</v>
      </c>
      <c r="AC34" t="s">
        <v>69</v>
      </c>
      <c r="AD34" t="s">
        <v>1011</v>
      </c>
      <c r="AE34" t="s">
        <v>1155</v>
      </c>
      <c r="AF34" s="22" t="s">
        <v>179</v>
      </c>
      <c r="AG34" s="22" t="s">
        <v>414</v>
      </c>
      <c r="AH34" s="22" t="s">
        <v>544</v>
      </c>
      <c r="AI34" s="22" t="s">
        <v>924</v>
      </c>
      <c r="AJ34" s="22" t="s">
        <v>238</v>
      </c>
    </row>
    <row r="35" spans="1:36">
      <c r="A35" t="s">
        <v>665</v>
      </c>
      <c r="B35" t="s">
        <v>823</v>
      </c>
      <c r="C35" t="s">
        <v>562</v>
      </c>
      <c r="D35" t="s">
        <v>824</v>
      </c>
      <c r="E35" t="s">
        <v>623</v>
      </c>
      <c r="F35" t="s">
        <v>825</v>
      </c>
      <c r="G35" t="s">
        <v>882</v>
      </c>
      <c r="H35" t="s">
        <v>962</v>
      </c>
      <c r="I35" t="s">
        <v>452</v>
      </c>
      <c r="J35" t="s">
        <v>1048</v>
      </c>
      <c r="K35" s="24" t="s">
        <v>1081</v>
      </c>
      <c r="L35" t="s">
        <v>1223</v>
      </c>
      <c r="M35" t="s">
        <v>1355</v>
      </c>
      <c r="N35" t="s">
        <v>289</v>
      </c>
      <c r="O35" s="24" t="s">
        <v>1244</v>
      </c>
      <c r="P35" t="s">
        <v>506</v>
      </c>
      <c r="Q35" s="24" t="s">
        <v>163</v>
      </c>
      <c r="R35" t="s">
        <v>315</v>
      </c>
      <c r="S35" t="s">
        <v>1315</v>
      </c>
      <c r="T35" t="s">
        <v>3</v>
      </c>
      <c r="U35" t="s">
        <v>43</v>
      </c>
      <c r="V35" t="s">
        <v>98</v>
      </c>
      <c r="W35" s="22" t="s">
        <v>1276</v>
      </c>
      <c r="X35" t="s">
        <v>1123</v>
      </c>
      <c r="Y35" t="s">
        <v>338</v>
      </c>
      <c r="Z35" t="s">
        <v>682</v>
      </c>
      <c r="AA35" t="s">
        <v>369</v>
      </c>
      <c r="AB35" t="s">
        <v>127</v>
      </c>
      <c r="AC35" t="s">
        <v>70</v>
      </c>
      <c r="AD35" t="s">
        <v>1012</v>
      </c>
      <c r="AE35" t="s">
        <v>1156</v>
      </c>
      <c r="AF35" s="22" t="s">
        <v>180</v>
      </c>
      <c r="AG35" s="22" t="s">
        <v>415</v>
      </c>
      <c r="AH35" s="22" t="s">
        <v>545</v>
      </c>
      <c r="AI35" s="22" t="s">
        <v>925</v>
      </c>
      <c r="AJ35" s="22" t="s">
        <v>247</v>
      </c>
    </row>
    <row r="36" spans="1:36">
      <c r="A36" t="s">
        <v>563</v>
      </c>
      <c r="B36" t="s">
        <v>826</v>
      </c>
      <c r="C36" t="s">
        <v>564</v>
      </c>
      <c r="D36" t="s">
        <v>827</v>
      </c>
      <c r="E36" t="s">
        <v>828</v>
      </c>
      <c r="F36" t="s">
        <v>829</v>
      </c>
      <c r="G36" t="s">
        <v>883</v>
      </c>
      <c r="H36" t="s">
        <v>963</v>
      </c>
      <c r="I36" t="s">
        <v>453</v>
      </c>
      <c r="J36" t="s">
        <v>1049</v>
      </c>
      <c r="K36" s="24" t="s">
        <v>1082</v>
      </c>
      <c r="L36" t="s">
        <v>1202</v>
      </c>
      <c r="M36" t="s">
        <v>1356</v>
      </c>
      <c r="N36" t="s">
        <v>290</v>
      </c>
      <c r="O36" s="24" t="s">
        <v>1245</v>
      </c>
      <c r="P36" t="s">
        <v>507</v>
      </c>
      <c r="Q36" s="24" t="s">
        <v>164</v>
      </c>
      <c r="R36" t="s">
        <v>316</v>
      </c>
      <c r="S36" t="s">
        <v>1316</v>
      </c>
      <c r="T36" t="s">
        <v>4</v>
      </c>
      <c r="U36" t="s">
        <v>44</v>
      </c>
      <c r="V36" t="s">
        <v>99</v>
      </c>
      <c r="W36" s="22" t="s">
        <v>1277</v>
      </c>
      <c r="X36" t="s">
        <v>479</v>
      </c>
      <c r="Y36" t="s">
        <v>339</v>
      </c>
      <c r="Z36" t="s">
        <v>683</v>
      </c>
      <c r="AA36" t="s">
        <v>370</v>
      </c>
      <c r="AB36" t="s">
        <v>128</v>
      </c>
      <c r="AC36" t="s">
        <v>71</v>
      </c>
      <c r="AD36" t="s">
        <v>1013</v>
      </c>
      <c r="AE36" t="s">
        <v>1157</v>
      </c>
      <c r="AF36" s="22" t="s">
        <v>181</v>
      </c>
      <c r="AG36" s="22" t="s">
        <v>416</v>
      </c>
      <c r="AH36" s="22" t="s">
        <v>546</v>
      </c>
      <c r="AI36" s="22" t="s">
        <v>926</v>
      </c>
      <c r="AJ36" s="22" t="s">
        <v>248</v>
      </c>
    </row>
    <row r="37" spans="1:36">
      <c r="A37" t="s">
        <v>666</v>
      </c>
      <c r="B37" t="s">
        <v>830</v>
      </c>
      <c r="C37" t="s">
        <v>565</v>
      </c>
      <c r="D37" t="s">
        <v>831</v>
      </c>
      <c r="E37" t="s">
        <v>624</v>
      </c>
      <c r="F37" t="s">
        <v>832</v>
      </c>
      <c r="G37" t="s">
        <v>884</v>
      </c>
      <c r="H37" t="s">
        <v>964</v>
      </c>
      <c r="I37" t="s">
        <v>454</v>
      </c>
      <c r="J37" t="s">
        <v>1050</v>
      </c>
      <c r="K37" s="24" t="s">
        <v>1083</v>
      </c>
      <c r="L37" t="s">
        <v>1224</v>
      </c>
      <c r="M37" t="s">
        <v>1357</v>
      </c>
      <c r="N37" s="2" t="s">
        <v>291</v>
      </c>
      <c r="O37" s="24" t="s">
        <v>1246</v>
      </c>
      <c r="P37" s="2" t="s">
        <v>508</v>
      </c>
      <c r="Q37" s="24" t="s">
        <v>207</v>
      </c>
      <c r="R37" s="2" t="s">
        <v>317</v>
      </c>
      <c r="S37" s="2" t="s">
        <v>1317</v>
      </c>
      <c r="T37" s="2" t="s">
        <v>5</v>
      </c>
      <c r="U37" s="2" t="s">
        <v>45</v>
      </c>
      <c r="V37" s="2" t="s">
        <v>100</v>
      </c>
      <c r="W37" s="22" t="s">
        <v>1278</v>
      </c>
      <c r="X37" s="2" t="s">
        <v>1124</v>
      </c>
      <c r="Y37" s="2" t="s">
        <v>340</v>
      </c>
      <c r="Z37" s="2" t="s">
        <v>684</v>
      </c>
      <c r="AA37" s="2" t="s">
        <v>371</v>
      </c>
      <c r="AB37" s="2" t="s">
        <v>129</v>
      </c>
      <c r="AC37" s="2" t="s">
        <v>72</v>
      </c>
      <c r="AD37" t="s">
        <v>1014</v>
      </c>
      <c r="AE37" t="s">
        <v>1158</v>
      </c>
      <c r="AF37" s="22" t="s">
        <v>182</v>
      </c>
      <c r="AG37" s="22" t="s">
        <v>417</v>
      </c>
      <c r="AH37" s="22" t="s">
        <v>547</v>
      </c>
      <c r="AI37" s="22" t="s">
        <v>927</v>
      </c>
      <c r="AJ37" s="22" t="s">
        <v>249</v>
      </c>
    </row>
    <row r="38" spans="1:36">
      <c r="A38" t="s">
        <v>566</v>
      </c>
      <c r="B38" t="s">
        <v>833</v>
      </c>
      <c r="C38" t="s">
        <v>567</v>
      </c>
      <c r="D38" s="2" t="s">
        <v>834</v>
      </c>
      <c r="E38" s="2" t="s">
        <v>835</v>
      </c>
      <c r="F38" s="2" t="s">
        <v>836</v>
      </c>
      <c r="G38" s="2" t="s">
        <v>885</v>
      </c>
      <c r="H38" s="2" t="s">
        <v>965</v>
      </c>
      <c r="I38" s="2" t="s">
        <v>455</v>
      </c>
      <c r="J38" s="2" t="s">
        <v>1051</v>
      </c>
      <c r="K38" s="24" t="s">
        <v>1084</v>
      </c>
      <c r="L38" s="2" t="s">
        <v>1203</v>
      </c>
      <c r="M38" s="2" t="s">
        <v>1358</v>
      </c>
      <c r="N38" s="2" t="s">
        <v>292</v>
      </c>
      <c r="O38" s="24" t="s">
        <v>1247</v>
      </c>
      <c r="P38" s="2" t="s">
        <v>509</v>
      </c>
      <c r="Q38" s="24" t="s">
        <v>208</v>
      </c>
      <c r="R38" s="2" t="s">
        <v>318</v>
      </c>
      <c r="S38" s="2" t="s">
        <v>1318</v>
      </c>
      <c r="T38" s="2" t="s">
        <v>6</v>
      </c>
      <c r="U38" s="2" t="s">
        <v>46</v>
      </c>
      <c r="V38" s="2" t="s">
        <v>101</v>
      </c>
      <c r="W38" s="22" t="s">
        <v>1279</v>
      </c>
      <c r="X38" s="2" t="s">
        <v>480</v>
      </c>
      <c r="Y38" s="2" t="s">
        <v>341</v>
      </c>
      <c r="Z38" s="2" t="s">
        <v>685</v>
      </c>
      <c r="AA38" s="2" t="s">
        <v>372</v>
      </c>
      <c r="AB38" s="2" t="s">
        <v>130</v>
      </c>
      <c r="AC38" s="2" t="s">
        <v>73</v>
      </c>
      <c r="AD38" t="s">
        <v>1015</v>
      </c>
      <c r="AE38" t="s">
        <v>1159</v>
      </c>
      <c r="AF38" s="22" t="s">
        <v>183</v>
      </c>
      <c r="AG38" s="22" t="s">
        <v>418</v>
      </c>
      <c r="AH38" s="22" t="s">
        <v>548</v>
      </c>
      <c r="AI38" s="22" t="s">
        <v>928</v>
      </c>
      <c r="AJ38" s="22" t="s">
        <v>250</v>
      </c>
    </row>
    <row r="39" spans="1:36">
      <c r="A39" t="s">
        <v>667</v>
      </c>
      <c r="B39" t="s">
        <v>837</v>
      </c>
      <c r="C39" t="s">
        <v>568</v>
      </c>
      <c r="D39" s="2" t="s">
        <v>838</v>
      </c>
      <c r="E39" s="2" t="s">
        <v>625</v>
      </c>
      <c r="F39" s="2" t="s">
        <v>839</v>
      </c>
      <c r="G39" s="2" t="s">
        <v>886</v>
      </c>
      <c r="H39" s="2" t="s">
        <v>966</v>
      </c>
      <c r="I39" s="2" t="s">
        <v>456</v>
      </c>
      <c r="J39" s="2" t="s">
        <v>1052</v>
      </c>
      <c r="K39" s="24" t="s">
        <v>1085</v>
      </c>
      <c r="L39" s="2" t="s">
        <v>1225</v>
      </c>
      <c r="M39" s="2" t="s">
        <v>1359</v>
      </c>
      <c r="N39" t="s">
        <v>293</v>
      </c>
      <c r="O39" s="24" t="s">
        <v>1248</v>
      </c>
      <c r="P39" t="s">
        <v>510</v>
      </c>
      <c r="Q39" s="24" t="s">
        <v>209</v>
      </c>
      <c r="R39" t="s">
        <v>319</v>
      </c>
      <c r="S39" t="s">
        <v>1319</v>
      </c>
      <c r="T39" t="s">
        <v>7</v>
      </c>
      <c r="U39" t="s">
        <v>47</v>
      </c>
      <c r="V39" t="s">
        <v>102</v>
      </c>
      <c r="W39" s="22" t="s">
        <v>1280</v>
      </c>
      <c r="X39" t="s">
        <v>537</v>
      </c>
      <c r="Y39" t="s">
        <v>342</v>
      </c>
      <c r="Z39" t="s">
        <v>686</v>
      </c>
      <c r="AA39" t="s">
        <v>373</v>
      </c>
      <c r="AB39" t="s">
        <v>131</v>
      </c>
      <c r="AC39" t="s">
        <v>74</v>
      </c>
      <c r="AD39" t="s">
        <v>1016</v>
      </c>
      <c r="AE39" t="s">
        <v>1160</v>
      </c>
      <c r="AF39" s="22" t="s">
        <v>184</v>
      </c>
      <c r="AG39" s="22" t="s">
        <v>419</v>
      </c>
      <c r="AH39" s="22" t="s">
        <v>549</v>
      </c>
      <c r="AI39" s="22" t="s">
        <v>929</v>
      </c>
      <c r="AJ39" s="22" t="s">
        <v>251</v>
      </c>
    </row>
    <row r="40" spans="1:36">
      <c r="A40" t="s">
        <v>569</v>
      </c>
      <c r="B40" t="s">
        <v>645</v>
      </c>
      <c r="C40" t="s">
        <v>482</v>
      </c>
      <c r="D40" t="s">
        <v>607</v>
      </c>
      <c r="E40" t="s">
        <v>840</v>
      </c>
      <c r="F40" t="s">
        <v>636</v>
      </c>
      <c r="G40" t="s">
        <v>887</v>
      </c>
      <c r="H40" t="s">
        <v>967</v>
      </c>
      <c r="I40" t="s">
        <v>457</v>
      </c>
      <c r="J40" t="s">
        <v>1053</v>
      </c>
      <c r="K40" s="24" t="s">
        <v>1086</v>
      </c>
      <c r="L40" t="s">
        <v>1204</v>
      </c>
      <c r="M40" t="s">
        <v>1360</v>
      </c>
      <c r="N40" t="s">
        <v>294</v>
      </c>
      <c r="O40" s="24" t="s">
        <v>1249</v>
      </c>
      <c r="P40" t="s">
        <v>511</v>
      </c>
      <c r="Q40" s="24" t="s">
        <v>210</v>
      </c>
      <c r="R40" t="s">
        <v>320</v>
      </c>
      <c r="S40" t="s">
        <v>1320</v>
      </c>
      <c r="T40" t="s">
        <v>8</v>
      </c>
      <c r="U40" t="s">
        <v>48</v>
      </c>
      <c r="V40" t="s">
        <v>1320</v>
      </c>
      <c r="W40" s="22" t="s">
        <v>1281</v>
      </c>
      <c r="X40" t="s">
        <v>1125</v>
      </c>
      <c r="Y40" t="s">
        <v>343</v>
      </c>
      <c r="Z40" t="s">
        <v>687</v>
      </c>
      <c r="AA40" t="s">
        <v>374</v>
      </c>
      <c r="AB40" t="s">
        <v>132</v>
      </c>
      <c r="AC40" t="s">
        <v>75</v>
      </c>
      <c r="AD40" t="s">
        <v>1017</v>
      </c>
      <c r="AE40" t="s">
        <v>1161</v>
      </c>
      <c r="AF40" s="22" t="s">
        <v>185</v>
      </c>
      <c r="AG40" s="22" t="s">
        <v>420</v>
      </c>
      <c r="AH40" s="22" t="s">
        <v>550</v>
      </c>
      <c r="AI40" s="22" t="s">
        <v>930</v>
      </c>
      <c r="AJ40" s="22" t="s">
        <v>252</v>
      </c>
    </row>
    <row r="41" spans="1:36">
      <c r="A41" t="s">
        <v>570</v>
      </c>
      <c r="B41" t="s">
        <v>646</v>
      </c>
      <c r="C41" t="s">
        <v>483</v>
      </c>
      <c r="D41" t="s">
        <v>608</v>
      </c>
      <c r="E41" t="s">
        <v>841</v>
      </c>
      <c r="F41" t="s">
        <v>637</v>
      </c>
      <c r="G41" t="s">
        <v>888</v>
      </c>
      <c r="H41" t="s">
        <v>968</v>
      </c>
      <c r="I41" t="s">
        <v>458</v>
      </c>
      <c r="J41" t="s">
        <v>1054</v>
      </c>
      <c r="K41" s="24" t="s">
        <v>1087</v>
      </c>
      <c r="L41" t="s">
        <v>1205</v>
      </c>
      <c r="M41" t="s">
        <v>1361</v>
      </c>
      <c r="N41" t="s">
        <v>295</v>
      </c>
      <c r="O41" s="24" t="s">
        <v>1250</v>
      </c>
      <c r="P41" t="s">
        <v>512</v>
      </c>
      <c r="Q41" s="24" t="s">
        <v>211</v>
      </c>
      <c r="R41" t="s">
        <v>321</v>
      </c>
      <c r="S41" t="s">
        <v>1321</v>
      </c>
      <c r="T41" t="s">
        <v>9</v>
      </c>
      <c r="U41" t="s">
        <v>49</v>
      </c>
      <c r="V41" t="s">
        <v>1321</v>
      </c>
      <c r="W41" s="22" t="s">
        <v>1282</v>
      </c>
      <c r="X41" t="s">
        <v>1126</v>
      </c>
      <c r="Y41" t="s">
        <v>344</v>
      </c>
      <c r="Z41" t="s">
        <v>688</v>
      </c>
      <c r="AA41" t="s">
        <v>375</v>
      </c>
      <c r="AB41" t="s">
        <v>133</v>
      </c>
      <c r="AC41" t="s">
        <v>76</v>
      </c>
      <c r="AD41" t="s">
        <v>1018</v>
      </c>
      <c r="AE41" t="s">
        <v>1162</v>
      </c>
      <c r="AF41" s="22" t="s">
        <v>186</v>
      </c>
      <c r="AG41" s="22" t="s">
        <v>421</v>
      </c>
      <c r="AH41" s="22" t="s">
        <v>551</v>
      </c>
      <c r="AI41" s="22" t="s">
        <v>931</v>
      </c>
      <c r="AJ41" s="22" t="s">
        <v>253</v>
      </c>
    </row>
    <row r="42" spans="1:36">
      <c r="A42" t="s">
        <v>571</v>
      </c>
      <c r="B42" t="s">
        <v>647</v>
      </c>
      <c r="C42" t="s">
        <v>484</v>
      </c>
      <c r="D42" t="s">
        <v>609</v>
      </c>
      <c r="E42" t="s">
        <v>842</v>
      </c>
      <c r="F42" t="s">
        <v>638</v>
      </c>
      <c r="G42" t="s">
        <v>889</v>
      </c>
      <c r="H42" t="s">
        <v>969</v>
      </c>
      <c r="I42" t="s">
        <v>459</v>
      </c>
      <c r="J42" t="s">
        <v>1055</v>
      </c>
      <c r="K42" s="24" t="s">
        <v>1088</v>
      </c>
      <c r="L42" t="s">
        <v>1206</v>
      </c>
      <c r="M42" t="s">
        <v>1362</v>
      </c>
      <c r="N42" t="s">
        <v>296</v>
      </c>
      <c r="O42" s="24" t="s">
        <v>1251</v>
      </c>
      <c r="P42" t="s">
        <v>513</v>
      </c>
      <c r="Q42" s="24" t="s">
        <v>212</v>
      </c>
      <c r="R42" t="s">
        <v>322</v>
      </c>
      <c r="S42" t="s">
        <v>1322</v>
      </c>
      <c r="T42" t="s">
        <v>10</v>
      </c>
      <c r="U42" t="s">
        <v>50</v>
      </c>
      <c r="V42" t="s">
        <v>1322</v>
      </c>
      <c r="W42" s="22" t="s">
        <v>1283</v>
      </c>
      <c r="X42" t="s">
        <v>1127</v>
      </c>
      <c r="Y42" t="s">
        <v>345</v>
      </c>
      <c r="Z42" t="s">
        <v>689</v>
      </c>
      <c r="AA42" t="s">
        <v>376</v>
      </c>
      <c r="AB42" t="s">
        <v>134</v>
      </c>
      <c r="AC42" t="s">
        <v>77</v>
      </c>
      <c r="AD42" t="s">
        <v>1019</v>
      </c>
      <c r="AE42" t="s">
        <v>1163</v>
      </c>
      <c r="AF42" s="22" t="s">
        <v>187</v>
      </c>
      <c r="AG42" s="22" t="s">
        <v>422</v>
      </c>
      <c r="AH42" s="22" t="s">
        <v>552</v>
      </c>
      <c r="AI42" s="22" t="s">
        <v>932</v>
      </c>
      <c r="AJ42" s="22" t="s">
        <v>254</v>
      </c>
    </row>
    <row r="43" spans="1:36">
      <c r="A43" t="s">
        <v>572</v>
      </c>
      <c r="B43" t="s">
        <v>648</v>
      </c>
      <c r="C43" t="s">
        <v>485</v>
      </c>
      <c r="D43" t="s">
        <v>610</v>
      </c>
      <c r="E43" t="s">
        <v>843</v>
      </c>
      <c r="F43" t="s">
        <v>639</v>
      </c>
      <c r="G43" t="s">
        <v>890</v>
      </c>
      <c r="H43" t="s">
        <v>970</v>
      </c>
      <c r="I43" t="s">
        <v>460</v>
      </c>
      <c r="J43" t="s">
        <v>1056</v>
      </c>
      <c r="K43" s="24" t="s">
        <v>1089</v>
      </c>
      <c r="L43" t="s">
        <v>1207</v>
      </c>
      <c r="M43" t="s">
        <v>1363</v>
      </c>
      <c r="N43" t="s">
        <v>297</v>
      </c>
      <c r="O43" s="24" t="s">
        <v>1252</v>
      </c>
      <c r="P43" t="s">
        <v>514</v>
      </c>
      <c r="Q43" s="24" t="s">
        <v>213</v>
      </c>
      <c r="R43" t="s">
        <v>323</v>
      </c>
      <c r="S43" t="s">
        <v>1323</v>
      </c>
      <c r="T43" t="s">
        <v>11</v>
      </c>
      <c r="U43" t="s">
        <v>51</v>
      </c>
      <c r="V43" t="s">
        <v>1323</v>
      </c>
      <c r="W43" s="22" t="s">
        <v>1284</v>
      </c>
      <c r="X43" t="s">
        <v>1128</v>
      </c>
      <c r="Y43" t="s">
        <v>346</v>
      </c>
      <c r="Z43" t="s">
        <v>690</v>
      </c>
      <c r="AA43" t="s">
        <v>377</v>
      </c>
      <c r="AB43" t="s">
        <v>135</v>
      </c>
      <c r="AC43" t="s">
        <v>78</v>
      </c>
      <c r="AD43" t="s">
        <v>1020</v>
      </c>
      <c r="AE43" t="s">
        <v>1164</v>
      </c>
      <c r="AF43" s="22" t="s">
        <v>188</v>
      </c>
      <c r="AG43" s="22" t="s">
        <v>423</v>
      </c>
      <c r="AH43" s="22" t="s">
        <v>553</v>
      </c>
      <c r="AI43" s="22" t="s">
        <v>933</v>
      </c>
      <c r="AJ43" s="22" t="s">
        <v>255</v>
      </c>
    </row>
    <row r="44" spans="1:36">
      <c r="A44" t="s">
        <v>573</v>
      </c>
      <c r="B44" t="s">
        <v>649</v>
      </c>
      <c r="C44" t="s">
        <v>486</v>
      </c>
      <c r="D44" t="s">
        <v>611</v>
      </c>
      <c r="E44" t="s">
        <v>844</v>
      </c>
      <c r="F44" t="s">
        <v>640</v>
      </c>
      <c r="G44" t="s">
        <v>891</v>
      </c>
      <c r="H44" t="s">
        <v>971</v>
      </c>
      <c r="I44" t="s">
        <v>461</v>
      </c>
      <c r="J44" t="s">
        <v>1057</v>
      </c>
      <c r="K44" s="24" t="s">
        <v>1090</v>
      </c>
      <c r="L44" t="s">
        <v>1208</v>
      </c>
      <c r="M44" t="s">
        <v>1364</v>
      </c>
      <c r="N44" t="s">
        <v>298</v>
      </c>
      <c r="O44" s="24" t="s">
        <v>1253</v>
      </c>
      <c r="P44" t="s">
        <v>515</v>
      </c>
      <c r="Q44" s="24" t="s">
        <v>214</v>
      </c>
      <c r="R44" t="s">
        <v>324</v>
      </c>
      <c r="S44" t="s">
        <v>1324</v>
      </c>
      <c r="T44" t="s">
        <v>12</v>
      </c>
      <c r="U44" t="s">
        <v>52</v>
      </c>
      <c r="V44" t="s">
        <v>1324</v>
      </c>
      <c r="W44" s="22" t="s">
        <v>1285</v>
      </c>
      <c r="X44" t="s">
        <v>1129</v>
      </c>
      <c r="Y44" t="s">
        <v>12</v>
      </c>
      <c r="Z44" t="s">
        <v>691</v>
      </c>
      <c r="AA44" t="s">
        <v>378</v>
      </c>
      <c r="AB44" t="s">
        <v>136</v>
      </c>
      <c r="AC44" t="s">
        <v>79</v>
      </c>
      <c r="AD44" t="s">
        <v>1021</v>
      </c>
      <c r="AE44" t="s">
        <v>1165</v>
      </c>
      <c r="AF44" s="22" t="s">
        <v>189</v>
      </c>
      <c r="AG44" s="22" t="s">
        <v>424</v>
      </c>
      <c r="AH44" s="22" t="s">
        <v>554</v>
      </c>
      <c r="AI44" s="22" t="s">
        <v>934</v>
      </c>
      <c r="AJ44" s="22" t="s">
        <v>256</v>
      </c>
    </row>
    <row r="45" spans="1:36">
      <c r="A45" t="s">
        <v>574</v>
      </c>
      <c r="B45" t="s">
        <v>650</v>
      </c>
      <c r="C45" t="s">
        <v>487</v>
      </c>
      <c r="D45" t="s">
        <v>611</v>
      </c>
      <c r="E45" t="s">
        <v>845</v>
      </c>
      <c r="F45" t="s">
        <v>641</v>
      </c>
      <c r="G45" t="s">
        <v>892</v>
      </c>
      <c r="H45" t="s">
        <v>972</v>
      </c>
      <c r="I45" t="s">
        <v>462</v>
      </c>
      <c r="J45" t="s">
        <v>1058</v>
      </c>
      <c r="K45" s="24" t="s">
        <v>1091</v>
      </c>
      <c r="L45" t="s">
        <v>1209</v>
      </c>
      <c r="M45" t="s">
        <v>1365</v>
      </c>
      <c r="N45" t="s">
        <v>299</v>
      </c>
      <c r="O45" s="24" t="s">
        <v>1254</v>
      </c>
      <c r="P45" t="s">
        <v>516</v>
      </c>
      <c r="Q45" s="24" t="s">
        <v>215</v>
      </c>
      <c r="R45" t="s">
        <v>325</v>
      </c>
      <c r="S45" t="s">
        <v>1325</v>
      </c>
      <c r="T45" t="s">
        <v>13</v>
      </c>
      <c r="U45" t="s">
        <v>53</v>
      </c>
      <c r="V45" t="s">
        <v>1325</v>
      </c>
      <c r="W45" s="22" t="s">
        <v>1286</v>
      </c>
      <c r="X45" t="s">
        <v>1130</v>
      </c>
      <c r="Y45" t="s">
        <v>13</v>
      </c>
      <c r="Z45" t="s">
        <v>692</v>
      </c>
      <c r="AA45" t="s">
        <v>379</v>
      </c>
      <c r="AB45" t="s">
        <v>137</v>
      </c>
      <c r="AC45" t="s">
        <v>80</v>
      </c>
      <c r="AD45" t="s">
        <v>1022</v>
      </c>
      <c r="AE45" t="s">
        <v>1166</v>
      </c>
      <c r="AF45" s="22" t="s">
        <v>190</v>
      </c>
      <c r="AG45" s="22" t="s">
        <v>425</v>
      </c>
      <c r="AH45" s="22" t="s">
        <v>555</v>
      </c>
      <c r="AI45" s="22" t="s">
        <v>935</v>
      </c>
      <c r="AJ45" s="22" t="s">
        <v>257</v>
      </c>
    </row>
    <row r="46" spans="1:36">
      <c r="A46" t="s">
        <v>575</v>
      </c>
      <c r="B46" t="s">
        <v>651</v>
      </c>
      <c r="C46" t="s">
        <v>488</v>
      </c>
      <c r="D46" t="s">
        <v>612</v>
      </c>
      <c r="E46" t="s">
        <v>846</v>
      </c>
      <c r="F46" t="s">
        <v>642</v>
      </c>
      <c r="G46" t="s">
        <v>893</v>
      </c>
      <c r="H46" t="s">
        <v>973</v>
      </c>
      <c r="I46" t="s">
        <v>463</v>
      </c>
      <c r="J46" t="s">
        <v>1059</v>
      </c>
      <c r="K46" s="24" t="s">
        <v>1092</v>
      </c>
      <c r="L46" t="s">
        <v>1210</v>
      </c>
      <c r="M46" t="s">
        <v>1366</v>
      </c>
      <c r="N46" t="s">
        <v>300</v>
      </c>
      <c r="O46" s="24" t="s">
        <v>1255</v>
      </c>
      <c r="P46" t="s">
        <v>517</v>
      </c>
      <c r="Q46" s="24" t="s">
        <v>216</v>
      </c>
      <c r="R46" t="s">
        <v>326</v>
      </c>
      <c r="S46" t="s">
        <v>1326</v>
      </c>
      <c r="T46" t="s">
        <v>14</v>
      </c>
      <c r="U46" t="s">
        <v>54</v>
      </c>
      <c r="V46" t="s">
        <v>103</v>
      </c>
      <c r="W46" s="22" t="s">
        <v>1287</v>
      </c>
      <c r="X46" t="s">
        <v>1131</v>
      </c>
      <c r="Y46" t="s">
        <v>347</v>
      </c>
      <c r="Z46" t="s">
        <v>693</v>
      </c>
      <c r="AA46" t="s">
        <v>380</v>
      </c>
      <c r="AB46" t="s">
        <v>138</v>
      </c>
      <c r="AC46" t="s">
        <v>81</v>
      </c>
      <c r="AD46" t="s">
        <v>1023</v>
      </c>
      <c r="AE46" t="s">
        <v>1167</v>
      </c>
      <c r="AF46" s="22" t="s">
        <v>191</v>
      </c>
      <c r="AG46" s="22" t="s">
        <v>426</v>
      </c>
      <c r="AH46" s="22" t="s">
        <v>556</v>
      </c>
      <c r="AI46" s="22" t="s">
        <v>936</v>
      </c>
      <c r="AJ46" s="22" t="s">
        <v>258</v>
      </c>
    </row>
    <row r="47" spans="1:36">
      <c r="A47" t="s">
        <v>576</v>
      </c>
      <c r="B47" t="s">
        <v>652</v>
      </c>
      <c r="C47" t="s">
        <v>489</v>
      </c>
      <c r="D47" t="s">
        <v>612</v>
      </c>
      <c r="E47" t="s">
        <v>847</v>
      </c>
      <c r="F47" t="s">
        <v>643</v>
      </c>
      <c r="G47" t="s">
        <v>894</v>
      </c>
      <c r="H47" t="s">
        <v>974</v>
      </c>
      <c r="I47" t="s">
        <v>464</v>
      </c>
      <c r="J47" t="s">
        <v>1060</v>
      </c>
      <c r="K47" s="24" t="s">
        <v>1093</v>
      </c>
      <c r="L47" t="s">
        <v>1211</v>
      </c>
      <c r="M47" t="s">
        <v>1367</v>
      </c>
      <c r="N47" t="s">
        <v>301</v>
      </c>
      <c r="O47" s="24" t="s">
        <v>1256</v>
      </c>
      <c r="P47" t="s">
        <v>518</v>
      </c>
      <c r="Q47" s="24" t="s">
        <v>217</v>
      </c>
      <c r="R47" t="s">
        <v>327</v>
      </c>
      <c r="S47" t="s">
        <v>1327</v>
      </c>
      <c r="T47" t="s">
        <v>15</v>
      </c>
      <c r="U47" t="s">
        <v>55</v>
      </c>
      <c r="V47" t="s">
        <v>104</v>
      </c>
      <c r="W47" s="22" t="s">
        <v>1287</v>
      </c>
      <c r="X47" t="s">
        <v>1132</v>
      </c>
      <c r="Y47" t="s">
        <v>348</v>
      </c>
      <c r="Z47" t="s">
        <v>694</v>
      </c>
      <c r="AA47" t="s">
        <v>381</v>
      </c>
      <c r="AB47" t="s">
        <v>139</v>
      </c>
      <c r="AC47" t="s">
        <v>82</v>
      </c>
      <c r="AD47" t="s">
        <v>1024</v>
      </c>
      <c r="AE47" t="s">
        <v>1168</v>
      </c>
      <c r="AF47" s="22" t="s">
        <v>192</v>
      </c>
      <c r="AG47" s="22" t="s">
        <v>427</v>
      </c>
      <c r="AH47" s="22" t="s">
        <v>557</v>
      </c>
      <c r="AI47" s="22" t="s">
        <v>937</v>
      </c>
      <c r="AJ47" s="22" t="s">
        <v>259</v>
      </c>
    </row>
    <row r="48" spans="1:36">
      <c r="A48" t="s">
        <v>783</v>
      </c>
      <c r="B48" t="s">
        <v>1574</v>
      </c>
      <c r="C48" t="s">
        <v>783</v>
      </c>
      <c r="D48" t="s">
        <v>1575</v>
      </c>
      <c r="E48" t="s">
        <v>848</v>
      </c>
      <c r="F48" t="s">
        <v>783</v>
      </c>
      <c r="G48" t="s">
        <v>895</v>
      </c>
      <c r="H48" t="s">
        <v>1576</v>
      </c>
      <c r="I48" t="s">
        <v>783</v>
      </c>
      <c r="J48" t="s">
        <v>783</v>
      </c>
      <c r="K48" s="24" t="s">
        <v>1094</v>
      </c>
      <c r="L48" t="s">
        <v>783</v>
      </c>
      <c r="M48" t="s">
        <v>783</v>
      </c>
      <c r="N48" t="s">
        <v>783</v>
      </c>
      <c r="O48" s="24" t="s">
        <v>783</v>
      </c>
      <c r="P48" t="s">
        <v>783</v>
      </c>
      <c r="Q48" s="24" t="s">
        <v>1212</v>
      </c>
      <c r="R48" t="s">
        <v>783</v>
      </c>
      <c r="S48" t="s">
        <v>1330</v>
      </c>
      <c r="T48" t="s">
        <v>783</v>
      </c>
      <c r="U48" t="s">
        <v>783</v>
      </c>
      <c r="V48" t="s">
        <v>783</v>
      </c>
      <c r="W48" s="22" t="s">
        <v>1288</v>
      </c>
      <c r="X48" t="s">
        <v>1577</v>
      </c>
      <c r="Y48" t="s">
        <v>16</v>
      </c>
      <c r="Z48" t="s">
        <v>83</v>
      </c>
      <c r="AA48" t="s">
        <v>382</v>
      </c>
      <c r="AB48" t="s">
        <v>140</v>
      </c>
      <c r="AC48" t="s">
        <v>140</v>
      </c>
      <c r="AD48" t="s">
        <v>1578</v>
      </c>
      <c r="AE48" t="s">
        <v>1169</v>
      </c>
      <c r="AF48" s="22" t="s">
        <v>193</v>
      </c>
      <c r="AG48" s="22" t="s">
        <v>1579</v>
      </c>
      <c r="AH48" s="22" t="s">
        <v>1580</v>
      </c>
      <c r="AI48" s="22" t="s">
        <v>1581</v>
      </c>
      <c r="AJ48" s="22" t="s">
        <v>1582</v>
      </c>
    </row>
    <row r="49" spans="1:36">
      <c r="A49" t="s">
        <v>784</v>
      </c>
      <c r="B49" t="s">
        <v>1583</v>
      </c>
      <c r="C49" t="s">
        <v>784</v>
      </c>
      <c r="D49" t="s">
        <v>784</v>
      </c>
      <c r="E49" t="s">
        <v>784</v>
      </c>
      <c r="F49" t="s">
        <v>141</v>
      </c>
      <c r="G49" t="s">
        <v>896</v>
      </c>
      <c r="H49" t="s">
        <v>975</v>
      </c>
      <c r="I49" t="s">
        <v>784</v>
      </c>
      <c r="J49" t="s">
        <v>784</v>
      </c>
      <c r="K49" s="24" t="s">
        <v>784</v>
      </c>
      <c r="L49" t="s">
        <v>784</v>
      </c>
      <c r="M49" t="s">
        <v>784</v>
      </c>
      <c r="N49" t="s">
        <v>784</v>
      </c>
      <c r="O49" s="24" t="s">
        <v>784</v>
      </c>
      <c r="P49" t="s">
        <v>784</v>
      </c>
      <c r="Q49" s="24" t="s">
        <v>784</v>
      </c>
      <c r="R49" t="s">
        <v>784</v>
      </c>
      <c r="S49" t="s">
        <v>1584</v>
      </c>
      <c r="T49" t="s">
        <v>784</v>
      </c>
      <c r="U49" t="s">
        <v>1585</v>
      </c>
      <c r="V49" t="s">
        <v>784</v>
      </c>
      <c r="W49" s="22" t="s">
        <v>1289</v>
      </c>
      <c r="X49" t="s">
        <v>1586</v>
      </c>
      <c r="Y49" t="s">
        <v>84</v>
      </c>
      <c r="Z49" t="s">
        <v>84</v>
      </c>
      <c r="AA49" t="s">
        <v>383</v>
      </c>
      <c r="AB49" t="s">
        <v>141</v>
      </c>
      <c r="AC49" t="s">
        <v>141</v>
      </c>
      <c r="AD49" t="s">
        <v>1587</v>
      </c>
      <c r="AE49" t="s">
        <v>1170</v>
      </c>
      <c r="AF49" s="22" t="s">
        <v>194</v>
      </c>
      <c r="AG49" s="22" t="s">
        <v>1588</v>
      </c>
      <c r="AH49" s="22" t="s">
        <v>1589</v>
      </c>
      <c r="AI49" s="22" t="s">
        <v>1590</v>
      </c>
      <c r="AJ49" s="22" t="s">
        <v>1591</v>
      </c>
    </row>
    <row r="50" spans="1:36">
      <c r="A50" t="s">
        <v>785</v>
      </c>
      <c r="B50" t="s">
        <v>56</v>
      </c>
      <c r="C50" t="s">
        <v>1592</v>
      </c>
      <c r="D50" t="s">
        <v>785</v>
      </c>
      <c r="E50" t="s">
        <v>785</v>
      </c>
      <c r="F50" t="s">
        <v>785</v>
      </c>
      <c r="G50" t="s">
        <v>785</v>
      </c>
      <c r="H50" t="s">
        <v>976</v>
      </c>
      <c r="I50" t="s">
        <v>785</v>
      </c>
      <c r="J50" t="s">
        <v>1061</v>
      </c>
      <c r="K50" s="24" t="s">
        <v>785</v>
      </c>
      <c r="L50" t="s">
        <v>1593</v>
      </c>
      <c r="M50" t="s">
        <v>785</v>
      </c>
      <c r="N50" t="s">
        <v>785</v>
      </c>
      <c r="O50" s="24" t="s">
        <v>785</v>
      </c>
      <c r="P50" t="s">
        <v>785</v>
      </c>
      <c r="Q50" s="24" t="s">
        <v>1594</v>
      </c>
      <c r="R50" t="s">
        <v>785</v>
      </c>
      <c r="S50" t="s">
        <v>1331</v>
      </c>
      <c r="T50" t="s">
        <v>785</v>
      </c>
      <c r="U50" t="s">
        <v>785</v>
      </c>
      <c r="V50" t="s">
        <v>785</v>
      </c>
      <c r="W50" s="22" t="s">
        <v>1290</v>
      </c>
      <c r="X50" t="s">
        <v>1595</v>
      </c>
      <c r="Y50" t="s">
        <v>17</v>
      </c>
      <c r="Z50" t="s">
        <v>17</v>
      </c>
      <c r="AA50" t="s">
        <v>384</v>
      </c>
      <c r="AB50" t="s">
        <v>785</v>
      </c>
      <c r="AC50" t="s">
        <v>785</v>
      </c>
      <c r="AD50" t="s">
        <v>785</v>
      </c>
      <c r="AE50" t="s">
        <v>1171</v>
      </c>
      <c r="AF50" s="22" t="s">
        <v>195</v>
      </c>
      <c r="AG50" s="22" t="s">
        <v>1596</v>
      </c>
      <c r="AH50" s="22" t="s">
        <v>558</v>
      </c>
      <c r="AI50" s="22" t="s">
        <v>1597</v>
      </c>
      <c r="AJ50" s="22" t="s">
        <v>938</v>
      </c>
    </row>
    <row r="51" spans="1:36">
      <c r="A51" t="s">
        <v>786</v>
      </c>
      <c r="B51" t="s">
        <v>1598</v>
      </c>
      <c r="C51" t="s">
        <v>786</v>
      </c>
      <c r="D51" t="s">
        <v>985</v>
      </c>
      <c r="E51" t="s">
        <v>786</v>
      </c>
      <c r="F51" t="s">
        <v>985</v>
      </c>
      <c r="G51" t="s">
        <v>897</v>
      </c>
      <c r="H51" t="s">
        <v>977</v>
      </c>
      <c r="I51" t="s">
        <v>786</v>
      </c>
      <c r="J51" t="s">
        <v>1062</v>
      </c>
      <c r="K51" s="24" t="s">
        <v>786</v>
      </c>
      <c r="L51" t="s">
        <v>786</v>
      </c>
      <c r="M51" t="s">
        <v>786</v>
      </c>
      <c r="N51" t="s">
        <v>786</v>
      </c>
      <c r="O51" s="24" t="s">
        <v>786</v>
      </c>
      <c r="P51" t="s">
        <v>786</v>
      </c>
      <c r="Q51" s="24" t="s">
        <v>1213</v>
      </c>
      <c r="R51" t="s">
        <v>786</v>
      </c>
      <c r="S51" t="s">
        <v>1332</v>
      </c>
      <c r="T51" t="s">
        <v>786</v>
      </c>
      <c r="U51" t="s">
        <v>1599</v>
      </c>
      <c r="V51" t="s">
        <v>786</v>
      </c>
      <c r="W51" s="22" t="s">
        <v>1291</v>
      </c>
      <c r="X51" t="s">
        <v>1600</v>
      </c>
      <c r="Y51" t="s">
        <v>18</v>
      </c>
      <c r="Z51" t="s">
        <v>18</v>
      </c>
      <c r="AA51" t="s">
        <v>1601</v>
      </c>
      <c r="AB51" t="s">
        <v>786</v>
      </c>
      <c r="AC51" t="s">
        <v>786</v>
      </c>
      <c r="AD51" t="s">
        <v>1602</v>
      </c>
      <c r="AE51" t="s">
        <v>1172</v>
      </c>
      <c r="AF51" s="22" t="s">
        <v>196</v>
      </c>
      <c r="AG51" s="22" t="s">
        <v>1603</v>
      </c>
      <c r="AH51" s="22" t="s">
        <v>1604</v>
      </c>
      <c r="AI51" s="22" t="s">
        <v>1605</v>
      </c>
      <c r="AJ51" s="22" t="s">
        <v>1606</v>
      </c>
    </row>
    <row r="52" spans="1:36">
      <c r="A52" t="s">
        <v>787</v>
      </c>
      <c r="B52" t="s">
        <v>986</v>
      </c>
      <c r="C52" t="s">
        <v>986</v>
      </c>
      <c r="D52" t="s">
        <v>787</v>
      </c>
      <c r="E52" t="s">
        <v>849</v>
      </c>
      <c r="F52" t="s">
        <v>986</v>
      </c>
      <c r="G52" t="s">
        <v>898</v>
      </c>
      <c r="H52" t="s">
        <v>978</v>
      </c>
      <c r="I52" t="s">
        <v>465</v>
      </c>
      <c r="J52" t="s">
        <v>1063</v>
      </c>
      <c r="K52" s="24" t="s">
        <v>986</v>
      </c>
      <c r="L52" t="s">
        <v>1182</v>
      </c>
      <c r="M52" t="s">
        <v>898</v>
      </c>
      <c r="N52" t="s">
        <v>787</v>
      </c>
      <c r="O52" s="24" t="s">
        <v>898</v>
      </c>
      <c r="P52" t="s">
        <v>1063</v>
      </c>
      <c r="Q52" s="24" t="s">
        <v>1607</v>
      </c>
      <c r="R52" t="s">
        <v>986</v>
      </c>
      <c r="S52" t="s">
        <v>1333</v>
      </c>
      <c r="T52" t="s">
        <v>898</v>
      </c>
      <c r="U52" t="s">
        <v>898</v>
      </c>
      <c r="V52" t="s">
        <v>898</v>
      </c>
      <c r="W52" s="23" t="s">
        <v>1292</v>
      </c>
      <c r="X52" t="s">
        <v>1608</v>
      </c>
      <c r="Y52" t="s">
        <v>19</v>
      </c>
      <c r="Z52" t="s">
        <v>1292</v>
      </c>
      <c r="AA52" t="s">
        <v>1609</v>
      </c>
      <c r="AB52" t="s">
        <v>787</v>
      </c>
      <c r="AC52" t="s">
        <v>787</v>
      </c>
      <c r="AD52" s="3" t="s">
        <v>787</v>
      </c>
      <c r="AE52" s="3" t="s">
        <v>1173</v>
      </c>
      <c r="AF52" s="23" t="s">
        <v>197</v>
      </c>
      <c r="AG52" s="23" t="s">
        <v>1610</v>
      </c>
      <c r="AH52" s="23" t="s">
        <v>559</v>
      </c>
      <c r="AI52" s="23" t="s">
        <v>1611</v>
      </c>
      <c r="AJ52" s="23" t="s">
        <v>1612</v>
      </c>
    </row>
    <row r="53" spans="1:36">
      <c r="A53" t="s">
        <v>774</v>
      </c>
      <c r="B53" t="s">
        <v>592</v>
      </c>
      <c r="C53" t="s">
        <v>774</v>
      </c>
      <c r="D53" t="s">
        <v>774</v>
      </c>
      <c r="E53" t="s">
        <v>626</v>
      </c>
      <c r="F53" t="s">
        <v>774</v>
      </c>
      <c r="G53" t="s">
        <v>1613</v>
      </c>
      <c r="H53" t="s">
        <v>1614</v>
      </c>
      <c r="I53" t="s">
        <v>1064</v>
      </c>
      <c r="J53" t="s">
        <v>1064</v>
      </c>
      <c r="K53" s="24" t="s">
        <v>1095</v>
      </c>
      <c r="L53" t="s">
        <v>774</v>
      </c>
      <c r="M53" t="s">
        <v>774</v>
      </c>
      <c r="N53" t="s">
        <v>302</v>
      </c>
      <c r="O53" s="24" t="s">
        <v>774</v>
      </c>
      <c r="P53" t="s">
        <v>1064</v>
      </c>
      <c r="Q53" s="24" t="s">
        <v>1214</v>
      </c>
      <c r="R53" t="s">
        <v>774</v>
      </c>
      <c r="S53" t="s">
        <v>899</v>
      </c>
      <c r="T53" t="s">
        <v>774</v>
      </c>
      <c r="U53" t="s">
        <v>1615</v>
      </c>
      <c r="V53" t="s">
        <v>774</v>
      </c>
      <c r="W53" s="22" t="s">
        <v>1293</v>
      </c>
      <c r="X53" t="s">
        <v>1616</v>
      </c>
      <c r="Y53" t="s">
        <v>20</v>
      </c>
      <c r="Z53" t="s">
        <v>85</v>
      </c>
      <c r="AA53" t="s">
        <v>1617</v>
      </c>
      <c r="AB53" t="s">
        <v>142</v>
      </c>
      <c r="AC53" t="s">
        <v>1618</v>
      </c>
      <c r="AD53" t="s">
        <v>1619</v>
      </c>
      <c r="AE53" t="s">
        <v>1174</v>
      </c>
      <c r="AF53" s="22" t="s">
        <v>198</v>
      </c>
      <c r="AG53" s="22" t="s">
        <v>1620</v>
      </c>
      <c r="AH53" s="22" t="s">
        <v>1621</v>
      </c>
      <c r="AI53" s="22" t="s">
        <v>1622</v>
      </c>
      <c r="AJ53" s="22" t="s">
        <v>239</v>
      </c>
    </row>
    <row r="54" spans="1:36">
      <c r="A54" t="s">
        <v>775</v>
      </c>
      <c r="B54" t="s">
        <v>593</v>
      </c>
      <c r="C54" t="s">
        <v>775</v>
      </c>
      <c r="D54" t="s">
        <v>775</v>
      </c>
      <c r="E54" t="s">
        <v>627</v>
      </c>
      <c r="F54" t="s">
        <v>775</v>
      </c>
      <c r="G54" t="s">
        <v>899</v>
      </c>
      <c r="H54" t="s">
        <v>979</v>
      </c>
      <c r="I54" t="s">
        <v>1065</v>
      </c>
      <c r="J54" t="s">
        <v>1065</v>
      </c>
      <c r="K54" s="24" t="s">
        <v>1096</v>
      </c>
      <c r="L54" t="s">
        <v>775</v>
      </c>
      <c r="M54" t="s">
        <v>775</v>
      </c>
      <c r="N54" t="s">
        <v>1623</v>
      </c>
      <c r="O54" s="24" t="s">
        <v>775</v>
      </c>
      <c r="P54" t="s">
        <v>1065</v>
      </c>
      <c r="Q54" s="24" t="s">
        <v>1215</v>
      </c>
      <c r="R54" t="s">
        <v>775</v>
      </c>
      <c r="S54" t="s">
        <v>1334</v>
      </c>
      <c r="T54" t="s">
        <v>775</v>
      </c>
      <c r="U54" t="s">
        <v>1624</v>
      </c>
      <c r="V54" t="s">
        <v>775</v>
      </c>
      <c r="W54" s="22" t="s">
        <v>1294</v>
      </c>
      <c r="X54" t="s">
        <v>1625</v>
      </c>
      <c r="Y54" t="s">
        <v>21</v>
      </c>
      <c r="Z54" t="s">
        <v>86</v>
      </c>
      <c r="AA54" t="s">
        <v>385</v>
      </c>
      <c r="AB54" t="s">
        <v>143</v>
      </c>
      <c r="AC54" t="s">
        <v>1626</v>
      </c>
      <c r="AD54" t="s">
        <v>1627</v>
      </c>
      <c r="AE54" t="s">
        <v>1175</v>
      </c>
      <c r="AF54" s="22" t="s">
        <v>199</v>
      </c>
      <c r="AG54" s="22" t="s">
        <v>1628</v>
      </c>
      <c r="AH54" s="22" t="s">
        <v>1629</v>
      </c>
      <c r="AI54" s="22" t="s">
        <v>1630</v>
      </c>
      <c r="AJ54" s="22" t="s">
        <v>1631</v>
      </c>
    </row>
    <row r="55" spans="1:36">
      <c r="A55" t="s">
        <v>788</v>
      </c>
      <c r="B55" t="s">
        <v>1632</v>
      </c>
      <c r="C55" t="s">
        <v>788</v>
      </c>
      <c r="D55" t="s">
        <v>850</v>
      </c>
      <c r="E55" t="s">
        <v>850</v>
      </c>
      <c r="F55" t="s">
        <v>850</v>
      </c>
      <c r="G55" t="s">
        <v>900</v>
      </c>
      <c r="H55" t="s">
        <v>1633</v>
      </c>
      <c r="I55" t="s">
        <v>466</v>
      </c>
      <c r="J55" t="s">
        <v>788</v>
      </c>
      <c r="K55" s="24" t="s">
        <v>788</v>
      </c>
      <c r="L55" t="s">
        <v>788</v>
      </c>
      <c r="M55" t="s">
        <v>788</v>
      </c>
      <c r="N55" t="s">
        <v>788</v>
      </c>
      <c r="O55" s="24" t="s">
        <v>1257</v>
      </c>
      <c r="P55" t="s">
        <v>788</v>
      </c>
      <c r="Q55" s="24" t="s">
        <v>788</v>
      </c>
      <c r="R55" t="s">
        <v>788</v>
      </c>
      <c r="S55" t="s">
        <v>1335</v>
      </c>
      <c r="T55" t="s">
        <v>1257</v>
      </c>
      <c r="U55" t="s">
        <v>1634</v>
      </c>
      <c r="V55" t="s">
        <v>788</v>
      </c>
      <c r="W55" s="23" t="s">
        <v>1295</v>
      </c>
      <c r="X55" t="s">
        <v>1635</v>
      </c>
      <c r="Y55" t="s">
        <v>22</v>
      </c>
      <c r="Z55" t="s">
        <v>22</v>
      </c>
      <c r="AA55" t="s">
        <v>1636</v>
      </c>
      <c r="AB55" t="s">
        <v>1637</v>
      </c>
      <c r="AC55" t="s">
        <v>1257</v>
      </c>
      <c r="AD55" s="3" t="s">
        <v>1638</v>
      </c>
      <c r="AE55" s="3" t="s">
        <v>1176</v>
      </c>
      <c r="AF55" s="23" t="s">
        <v>200</v>
      </c>
      <c r="AG55" s="23" t="s">
        <v>1639</v>
      </c>
      <c r="AH55" s="23" t="s">
        <v>1640</v>
      </c>
      <c r="AI55" s="23" t="s">
        <v>1641</v>
      </c>
      <c r="AJ55" s="23" t="s">
        <v>1642</v>
      </c>
    </row>
    <row r="56" spans="1:36">
      <c r="A56" t="s">
        <v>789</v>
      </c>
      <c r="B56" t="s">
        <v>1643</v>
      </c>
      <c r="C56" t="s">
        <v>789</v>
      </c>
      <c r="D56" t="s">
        <v>789</v>
      </c>
      <c r="E56" t="s">
        <v>851</v>
      </c>
      <c r="F56" t="s">
        <v>851</v>
      </c>
      <c r="G56" t="s">
        <v>901</v>
      </c>
      <c r="H56" t="s">
        <v>1644</v>
      </c>
      <c r="I56" t="s">
        <v>789</v>
      </c>
      <c r="J56" t="s">
        <v>1645</v>
      </c>
      <c r="K56" s="24" t="s">
        <v>789</v>
      </c>
      <c r="L56" t="s">
        <v>789</v>
      </c>
      <c r="M56" t="s">
        <v>789</v>
      </c>
      <c r="N56" t="s">
        <v>789</v>
      </c>
      <c r="O56" s="24" t="s">
        <v>789</v>
      </c>
      <c r="P56" t="s">
        <v>789</v>
      </c>
      <c r="Q56" s="24" t="s">
        <v>1216</v>
      </c>
      <c r="R56" t="s">
        <v>789</v>
      </c>
      <c r="S56" t="s">
        <v>1336</v>
      </c>
      <c r="T56" t="s">
        <v>789</v>
      </c>
      <c r="U56" t="s">
        <v>1646</v>
      </c>
      <c r="V56" t="s">
        <v>789</v>
      </c>
      <c r="W56" s="23" t="s">
        <v>1296</v>
      </c>
      <c r="X56" t="s">
        <v>1647</v>
      </c>
      <c r="Y56" t="s">
        <v>23</v>
      </c>
      <c r="Z56" t="s">
        <v>87</v>
      </c>
      <c r="AA56" t="s">
        <v>386</v>
      </c>
      <c r="AB56" t="s">
        <v>144</v>
      </c>
      <c r="AC56" t="s">
        <v>144</v>
      </c>
      <c r="AD56" s="3" t="s">
        <v>1648</v>
      </c>
      <c r="AE56" s="3" t="s">
        <v>1177</v>
      </c>
      <c r="AF56" s="23" t="s">
        <v>201</v>
      </c>
      <c r="AG56" s="23" t="s">
        <v>1649</v>
      </c>
      <c r="AH56" s="23" t="s">
        <v>1650</v>
      </c>
      <c r="AI56" s="23" t="s">
        <v>1651</v>
      </c>
      <c r="AJ56" s="23" t="s">
        <v>260</v>
      </c>
    </row>
    <row r="57" spans="1:36">
      <c r="A57" t="s">
        <v>790</v>
      </c>
      <c r="B57" t="s">
        <v>790</v>
      </c>
      <c r="C57" t="s">
        <v>1066</v>
      </c>
      <c r="D57" t="s">
        <v>790</v>
      </c>
      <c r="E57" t="s">
        <v>852</v>
      </c>
      <c r="F57" t="s">
        <v>536</v>
      </c>
      <c r="G57" t="s">
        <v>1652</v>
      </c>
      <c r="H57" t="s">
        <v>980</v>
      </c>
      <c r="I57" t="s">
        <v>1066</v>
      </c>
      <c r="J57" t="s">
        <v>1066</v>
      </c>
      <c r="K57" s="24" t="s">
        <v>790</v>
      </c>
      <c r="L57" t="s">
        <v>1066</v>
      </c>
      <c r="M57" t="s">
        <v>1066</v>
      </c>
      <c r="N57" t="s">
        <v>790</v>
      </c>
      <c r="O57" s="24" t="s">
        <v>790</v>
      </c>
      <c r="P57" t="s">
        <v>1066</v>
      </c>
      <c r="Q57" s="24" t="s">
        <v>1217</v>
      </c>
      <c r="R57" t="s">
        <v>1066</v>
      </c>
      <c r="S57" t="s">
        <v>902</v>
      </c>
      <c r="T57" t="s">
        <v>1066</v>
      </c>
      <c r="U57" t="s">
        <v>1653</v>
      </c>
      <c r="V57" t="s">
        <v>1066</v>
      </c>
      <c r="W57" s="23" t="s">
        <v>1654</v>
      </c>
      <c r="X57" t="s">
        <v>1655</v>
      </c>
      <c r="Y57" t="s">
        <v>24</v>
      </c>
      <c r="Z57" t="s">
        <v>24</v>
      </c>
      <c r="AA57" t="s">
        <v>1656</v>
      </c>
      <c r="AB57" t="s">
        <v>1066</v>
      </c>
      <c r="AC57" t="s">
        <v>1066</v>
      </c>
      <c r="AD57" s="3" t="s">
        <v>1657</v>
      </c>
      <c r="AE57" s="3" t="s">
        <v>1178</v>
      </c>
      <c r="AF57" s="23" t="s">
        <v>202</v>
      </c>
      <c r="AG57" s="23" t="s">
        <v>1658</v>
      </c>
      <c r="AH57" s="23" t="s">
        <v>1659</v>
      </c>
      <c r="AI57" s="23" t="s">
        <v>1660</v>
      </c>
      <c r="AJ57" s="23" t="s">
        <v>1661</v>
      </c>
    </row>
    <row r="58" spans="1:36">
      <c r="A58" t="s">
        <v>791</v>
      </c>
      <c r="B58" t="s">
        <v>791</v>
      </c>
      <c r="C58" t="s">
        <v>791</v>
      </c>
      <c r="D58" t="s">
        <v>791</v>
      </c>
      <c r="E58" t="s">
        <v>791</v>
      </c>
      <c r="F58" t="s">
        <v>791</v>
      </c>
      <c r="G58" t="s">
        <v>902</v>
      </c>
      <c r="H58" t="s">
        <v>1662</v>
      </c>
      <c r="I58" t="s">
        <v>467</v>
      </c>
      <c r="J58" t="s">
        <v>791</v>
      </c>
      <c r="K58" s="24" t="s">
        <v>1663</v>
      </c>
      <c r="L58" t="s">
        <v>791</v>
      </c>
      <c r="M58" t="s">
        <v>791</v>
      </c>
      <c r="N58" t="s">
        <v>791</v>
      </c>
      <c r="O58" s="24" t="s">
        <v>791</v>
      </c>
      <c r="P58" t="s">
        <v>791</v>
      </c>
      <c r="Q58" s="24" t="s">
        <v>1218</v>
      </c>
      <c r="R58" t="s">
        <v>791</v>
      </c>
      <c r="S58" t="s">
        <v>1337</v>
      </c>
      <c r="T58" t="s">
        <v>791</v>
      </c>
      <c r="U58" t="s">
        <v>1664</v>
      </c>
      <c r="V58" t="s">
        <v>791</v>
      </c>
      <c r="W58" s="23" t="s">
        <v>1297</v>
      </c>
      <c r="X58" t="s">
        <v>1665</v>
      </c>
      <c r="Y58" t="s">
        <v>349</v>
      </c>
      <c r="Z58" t="s">
        <v>88</v>
      </c>
      <c r="AA58" t="s">
        <v>1666</v>
      </c>
      <c r="AB58" t="s">
        <v>145</v>
      </c>
      <c r="AC58" t="s">
        <v>145</v>
      </c>
      <c r="AD58" s="3" t="s">
        <v>1667</v>
      </c>
      <c r="AE58" s="3" t="s">
        <v>1179</v>
      </c>
      <c r="AF58" s="23" t="s">
        <v>203</v>
      </c>
      <c r="AG58" s="23" t="s">
        <v>1668</v>
      </c>
      <c r="AH58" s="23" t="s">
        <v>1669</v>
      </c>
      <c r="AI58" s="23" t="s">
        <v>1670</v>
      </c>
      <c r="AJ58" s="23" t="s">
        <v>240</v>
      </c>
    </row>
    <row r="59" spans="1:36">
      <c r="A59" t="s">
        <v>792</v>
      </c>
      <c r="B59" t="s">
        <v>1671</v>
      </c>
      <c r="C59" t="s">
        <v>490</v>
      </c>
      <c r="D59" t="s">
        <v>853</v>
      </c>
      <c r="E59" t="s">
        <v>853</v>
      </c>
      <c r="F59" t="s">
        <v>490</v>
      </c>
      <c r="G59" t="s">
        <v>981</v>
      </c>
      <c r="H59" t="s">
        <v>1672</v>
      </c>
      <c r="I59" t="s">
        <v>1183</v>
      </c>
      <c r="J59" t="s">
        <v>792</v>
      </c>
      <c r="K59" s="24" t="s">
        <v>792</v>
      </c>
      <c r="L59" t="s">
        <v>792</v>
      </c>
      <c r="M59" t="s">
        <v>792</v>
      </c>
      <c r="N59" t="s">
        <v>792</v>
      </c>
      <c r="O59" s="24" t="s">
        <v>792</v>
      </c>
      <c r="P59" t="s">
        <v>792</v>
      </c>
      <c r="Q59" s="24" t="s">
        <v>1219</v>
      </c>
      <c r="R59" t="s">
        <v>1183</v>
      </c>
      <c r="S59" t="s">
        <v>1338</v>
      </c>
      <c r="T59" t="s">
        <v>792</v>
      </c>
      <c r="U59" t="s">
        <v>1673</v>
      </c>
      <c r="V59" t="s">
        <v>792</v>
      </c>
      <c r="W59" s="23" t="s">
        <v>1298</v>
      </c>
      <c r="X59" t="s">
        <v>1674</v>
      </c>
      <c r="Y59" t="s">
        <v>89</v>
      </c>
      <c r="Z59" t="s">
        <v>89</v>
      </c>
      <c r="AA59" t="s">
        <v>1675</v>
      </c>
      <c r="AB59" t="s">
        <v>146</v>
      </c>
      <c r="AC59" t="s">
        <v>146</v>
      </c>
      <c r="AD59" s="3" t="s">
        <v>1676</v>
      </c>
      <c r="AE59" s="3" t="s">
        <v>1180</v>
      </c>
      <c r="AF59" s="23" t="s">
        <v>204</v>
      </c>
      <c r="AG59" s="23" t="s">
        <v>1677</v>
      </c>
      <c r="AH59" s="23" t="s">
        <v>1678</v>
      </c>
      <c r="AI59" s="23" t="s">
        <v>1679</v>
      </c>
      <c r="AJ59" s="23" t="s">
        <v>241</v>
      </c>
    </row>
    <row r="60" spans="1:36">
      <c r="A60" t="s">
        <v>1744</v>
      </c>
      <c r="B60" t="s">
        <v>1744</v>
      </c>
      <c r="C60" t="s">
        <v>1744</v>
      </c>
      <c r="D60" t="s">
        <v>1744</v>
      </c>
      <c r="E60" t="s">
        <v>1744</v>
      </c>
      <c r="F60" t="s">
        <v>1744</v>
      </c>
      <c r="G60" t="s">
        <v>1744</v>
      </c>
      <c r="H60" t="s">
        <v>1744</v>
      </c>
      <c r="I60" t="s">
        <v>1744</v>
      </c>
      <c r="J60" t="s">
        <v>1744</v>
      </c>
      <c r="K60" t="s">
        <v>1744</v>
      </c>
      <c r="L60" t="s">
        <v>1744</v>
      </c>
      <c r="M60" t="s">
        <v>1744</v>
      </c>
      <c r="N60" t="s">
        <v>1744</v>
      </c>
      <c r="O60" t="s">
        <v>1744</v>
      </c>
      <c r="P60" t="s">
        <v>1744</v>
      </c>
      <c r="Q60" t="s">
        <v>1744</v>
      </c>
      <c r="R60" t="s">
        <v>1744</v>
      </c>
      <c r="S60" t="s">
        <v>1744</v>
      </c>
      <c r="T60" t="s">
        <v>1744</v>
      </c>
      <c r="U60" t="s">
        <v>1744</v>
      </c>
      <c r="V60" t="s">
        <v>1744</v>
      </c>
      <c r="W60" t="s">
        <v>1744</v>
      </c>
      <c r="X60" t="s">
        <v>1744</v>
      </c>
      <c r="Y60" t="s">
        <v>1744</v>
      </c>
      <c r="Z60" t="s">
        <v>1744</v>
      </c>
      <c r="AA60" t="s">
        <v>1744</v>
      </c>
      <c r="AB60" t="s">
        <v>1744</v>
      </c>
      <c r="AC60" t="s">
        <v>1744</v>
      </c>
      <c r="AD60" t="s">
        <v>1744</v>
      </c>
      <c r="AE60" t="s">
        <v>1744</v>
      </c>
      <c r="AF60" t="s">
        <v>1744</v>
      </c>
      <c r="AG60" t="s">
        <v>1744</v>
      </c>
      <c r="AH60" t="s">
        <v>1744</v>
      </c>
      <c r="AI60" t="s">
        <v>1744</v>
      </c>
      <c r="AJ60" t="s">
        <v>1744</v>
      </c>
    </row>
    <row r="61" spans="1:36">
      <c r="A61" t="s">
        <v>773</v>
      </c>
      <c r="B61" t="s">
        <v>594</v>
      </c>
      <c r="C61" t="s">
        <v>491</v>
      </c>
      <c r="D61" t="s">
        <v>773</v>
      </c>
      <c r="E61" t="s">
        <v>854</v>
      </c>
      <c r="F61" t="s">
        <v>644</v>
      </c>
      <c r="G61" t="s">
        <v>903</v>
      </c>
      <c r="H61" t="s">
        <v>982</v>
      </c>
      <c r="I61" t="s">
        <v>468</v>
      </c>
      <c r="J61" t="s">
        <v>1067</v>
      </c>
      <c r="K61" s="24" t="s">
        <v>1097</v>
      </c>
      <c r="L61" t="s">
        <v>1220</v>
      </c>
      <c r="M61" t="s">
        <v>1368</v>
      </c>
      <c r="N61" t="s">
        <v>303</v>
      </c>
      <c r="O61" s="24" t="s">
        <v>1258</v>
      </c>
      <c r="P61" t="s">
        <v>303</v>
      </c>
      <c r="Q61" s="24" t="s">
        <v>218</v>
      </c>
      <c r="R61" t="s">
        <v>328</v>
      </c>
      <c r="S61" t="s">
        <v>1328</v>
      </c>
      <c r="T61" t="s">
        <v>25</v>
      </c>
      <c r="U61" t="s">
        <v>57</v>
      </c>
      <c r="V61" t="s">
        <v>105</v>
      </c>
      <c r="W61" s="22" t="s">
        <v>1299</v>
      </c>
      <c r="X61" t="s">
        <v>1133</v>
      </c>
      <c r="Y61" t="s">
        <v>773</v>
      </c>
      <c r="Z61" t="s">
        <v>695</v>
      </c>
      <c r="AA61" t="s">
        <v>387</v>
      </c>
      <c r="AB61" t="s">
        <v>147</v>
      </c>
      <c r="AC61" t="s">
        <v>773</v>
      </c>
      <c r="AD61" t="s">
        <v>1025</v>
      </c>
      <c r="AE61" t="s">
        <v>1181</v>
      </c>
      <c r="AF61" s="22" t="s">
        <v>205</v>
      </c>
      <c r="AG61" s="22" t="s">
        <v>773</v>
      </c>
      <c r="AH61" s="22" t="s">
        <v>560</v>
      </c>
      <c r="AI61" s="22" t="s">
        <v>939</v>
      </c>
      <c r="AJ61" s="22" t="s">
        <v>261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B1:Q103"/>
  <sheetViews>
    <sheetView showGridLines="0" workbookViewId="0">
      <selection activeCell="B8" sqref="B8"/>
    </sheetView>
  </sheetViews>
  <sheetFormatPr defaultColWidth="9.1640625" defaultRowHeight="13.15" customHeight="1"/>
  <cols>
    <col min="1" max="1" width="2.5" style="7" customWidth="1"/>
    <col min="2" max="2" width="21" style="7" customWidth="1"/>
    <col min="3" max="3" width="25" style="8" customWidth="1"/>
    <col min="4" max="4" width="3" style="7" customWidth="1"/>
    <col min="5" max="6" width="9.1640625" style="7" customWidth="1"/>
    <col min="7" max="7" width="8.83203125" style="7" customWidth="1"/>
    <col min="8" max="11" width="9.1640625" style="7" customWidth="1"/>
    <col min="12" max="12" width="11.6640625" style="4" bestFit="1" customWidth="1"/>
    <col min="13" max="13" width="3.6640625" style="4" bestFit="1" customWidth="1"/>
    <col min="14" max="14" width="13.5" style="4" bestFit="1" customWidth="1"/>
    <col min="15" max="15" width="3" style="4" bestFit="1" customWidth="1"/>
    <col min="16" max="16" width="7.6640625" style="4" bestFit="1" customWidth="1"/>
    <col min="17" max="17" width="3" style="4" bestFit="1" customWidth="1"/>
    <col min="18" max="16384" width="9.1640625" style="7"/>
  </cols>
  <sheetData>
    <row r="1" spans="2:17" ht="6.6" customHeight="1"/>
    <row r="2" spans="2:17" ht="17.45" customHeight="1" thickBot="1">
      <c r="B2" s="9" t="s">
        <v>702</v>
      </c>
      <c r="C2" s="10"/>
      <c r="D2" s="11"/>
    </row>
    <row r="3" spans="2:17" ht="4.9000000000000004" customHeight="1">
      <c r="B3" s="12"/>
      <c r="C3" s="13"/>
      <c r="D3" s="14"/>
    </row>
    <row r="4" spans="2:17" ht="13.15" customHeight="1">
      <c r="B4" s="6" t="s">
        <v>697</v>
      </c>
      <c r="C4" s="18" t="s">
        <v>149</v>
      </c>
      <c r="D4" s="14"/>
    </row>
    <row r="5" spans="2:17" ht="4.9000000000000004" customHeight="1">
      <c r="B5" s="12"/>
      <c r="C5" s="13"/>
      <c r="D5" s="14"/>
    </row>
    <row r="6" spans="2:17" ht="13.15" customHeight="1">
      <c r="B6" s="6" t="s">
        <v>263</v>
      </c>
      <c r="C6" s="18" t="s">
        <v>264</v>
      </c>
      <c r="D6" s="14"/>
    </row>
    <row r="7" spans="2:17" ht="4.9000000000000004" customHeight="1">
      <c r="B7" s="12"/>
      <c r="C7" s="13"/>
      <c r="D7" s="14"/>
    </row>
    <row r="8" spans="2:17" ht="13.15" customHeight="1">
      <c r="B8" s="6" t="s">
        <v>703</v>
      </c>
      <c r="C8" s="18" t="s">
        <v>745</v>
      </c>
      <c r="D8" s="14"/>
    </row>
    <row r="9" spans="2:17" ht="4.9000000000000004" customHeight="1">
      <c r="B9" s="12"/>
      <c r="C9" s="13"/>
      <c r="D9" s="14"/>
    </row>
    <row r="10" spans="2:17" ht="13.15" customHeight="1">
      <c r="B10" s="6" t="s">
        <v>704</v>
      </c>
      <c r="C10" s="18" t="s">
        <v>698</v>
      </c>
      <c r="D10" s="14"/>
    </row>
    <row r="11" spans="2:17" ht="4.9000000000000004" customHeight="1">
      <c r="B11" s="15"/>
      <c r="C11" s="16"/>
      <c r="D11" s="17"/>
    </row>
    <row r="12" spans="2:17" ht="13.15" customHeight="1">
      <c r="B12" s="5"/>
      <c r="C12" s="5"/>
      <c r="D12" s="5"/>
      <c r="E12" s="5"/>
      <c r="F12" s="5"/>
      <c r="G12" s="5"/>
      <c r="L12" s="7"/>
      <c r="M12" s="7"/>
      <c r="N12" s="7"/>
      <c r="O12" s="7"/>
      <c r="P12" s="7"/>
      <c r="Q12" s="7"/>
    </row>
    <row r="13" spans="2:17" ht="13.15" customHeight="1">
      <c r="B13" s="21" t="s">
        <v>856</v>
      </c>
      <c r="C13" s="85" t="s">
        <v>1690</v>
      </c>
      <c r="D13" s="5"/>
      <c r="E13" s="5"/>
      <c r="F13" s="5"/>
      <c r="L13" s="7"/>
      <c r="M13" s="7"/>
      <c r="N13" s="7"/>
      <c r="O13" s="7"/>
      <c r="P13" s="7"/>
      <c r="Q13" s="7"/>
    </row>
    <row r="14" spans="2:17" ht="13.15" customHeight="1">
      <c r="B14" s="19" t="str">
        <f ca="1">INDEX(T,6,language)</f>
        <v>England</v>
      </c>
      <c r="C14" s="86">
        <v>81535</v>
      </c>
      <c r="D14" s="5"/>
      <c r="E14" s="5"/>
      <c r="F14" s="5"/>
      <c r="L14" s="7"/>
      <c r="M14" s="7"/>
      <c r="N14" s="7"/>
      <c r="O14" s="7"/>
      <c r="P14" s="7"/>
      <c r="Q14" s="7"/>
    </row>
    <row r="15" spans="2:17" ht="13.15" customHeight="1">
      <c r="B15" s="19" t="str">
        <f ca="1">INDEX(T,16,language)</f>
        <v>Spanien</v>
      </c>
      <c r="C15" s="86">
        <v>74614</v>
      </c>
      <c r="D15" s="5"/>
      <c r="E15" s="5"/>
      <c r="F15" s="5"/>
      <c r="L15" s="7"/>
      <c r="M15" s="7"/>
      <c r="N15" s="7"/>
      <c r="O15" s="7"/>
      <c r="P15" s="7"/>
      <c r="Q15" s="7"/>
    </row>
    <row r="16" spans="2:17" ht="13.15" customHeight="1">
      <c r="B16" s="19" t="str">
        <f ca="1">INDEX(T,8,language)</f>
        <v>Tyskland</v>
      </c>
      <c r="C16" s="86">
        <v>70686</v>
      </c>
      <c r="D16" s="5"/>
      <c r="E16" s="5"/>
      <c r="F16" s="5"/>
      <c r="L16" s="7"/>
      <c r="M16" s="7"/>
      <c r="N16" s="7"/>
      <c r="O16" s="7"/>
      <c r="P16" s="7"/>
      <c r="Q16" s="7"/>
    </row>
    <row r="17" spans="2:17" ht="13.15" customHeight="1">
      <c r="B17" s="19" t="str">
        <f ca="1">INDEX(T,10,language)</f>
        <v>Italien</v>
      </c>
      <c r="C17" s="86">
        <v>58124</v>
      </c>
      <c r="D17" s="5"/>
      <c r="E17" s="5"/>
      <c r="F17" s="5"/>
      <c r="L17" s="7"/>
      <c r="M17" s="7"/>
      <c r="N17" s="7"/>
      <c r="O17" s="7"/>
      <c r="P17" s="7"/>
      <c r="Q17" s="7"/>
    </row>
    <row r="18" spans="2:17" ht="13.15" customHeight="1">
      <c r="B18" s="19" t="str">
        <f ca="1">INDEX(T,7,language)</f>
        <v>Frankrike</v>
      </c>
      <c r="C18" s="86">
        <v>53344</v>
      </c>
      <c r="D18" s="5"/>
      <c r="E18" s="5"/>
      <c r="F18" s="5"/>
      <c r="L18" s="7"/>
      <c r="M18" s="7"/>
      <c r="N18" s="7"/>
      <c r="O18" s="7"/>
      <c r="P18" s="7"/>
      <c r="Q18" s="7"/>
    </row>
    <row r="19" spans="2:17" ht="13.15" customHeight="1">
      <c r="B19" s="19" t="str">
        <f ca="1">INDEX(T,13,language)</f>
        <v>Portugal</v>
      </c>
      <c r="C19" s="86">
        <v>52513</v>
      </c>
      <c r="D19" s="5"/>
      <c r="E19" s="5"/>
      <c r="F19" s="5"/>
      <c r="L19" s="7"/>
      <c r="M19" s="7"/>
      <c r="N19" s="7"/>
      <c r="O19" s="7"/>
      <c r="P19" s="7"/>
      <c r="Q19" s="7"/>
    </row>
    <row r="20" spans="2:17" ht="13.15" customHeight="1">
      <c r="B20" s="19" t="str">
        <f ca="1">INDEX(T,15,language)</f>
        <v>Ryssland</v>
      </c>
      <c r="C20" s="86">
        <v>46998</v>
      </c>
      <c r="D20" s="5"/>
      <c r="E20" s="5"/>
      <c r="F20" s="5"/>
      <c r="L20" s="7"/>
      <c r="M20" s="7"/>
      <c r="N20" s="7"/>
      <c r="O20" s="7"/>
      <c r="P20" s="7"/>
      <c r="Q20" s="7"/>
    </row>
    <row r="21" spans="2:17" ht="13.15" customHeight="1">
      <c r="B21" s="19" t="str">
        <f ca="1">INDEX(T,18,language)</f>
        <v>Ukraina</v>
      </c>
      <c r="C21" s="86">
        <v>43799</v>
      </c>
      <c r="D21" s="5"/>
      <c r="E21" s="5"/>
      <c r="F21" s="5"/>
      <c r="L21" s="7"/>
      <c r="M21" s="7"/>
      <c r="N21" s="7"/>
      <c r="O21" s="7"/>
      <c r="P21" s="7"/>
      <c r="Q21" s="7"/>
    </row>
    <row r="22" spans="2:17" ht="13.15" customHeight="1">
      <c r="B22" s="19" t="str">
        <f ca="1">INDEX(T,11,language)</f>
        <v>Nederländerna</v>
      </c>
      <c r="C22" s="86">
        <v>41115</v>
      </c>
      <c r="D22" s="5"/>
      <c r="E22" s="5"/>
      <c r="F22" s="5"/>
      <c r="L22" s="7"/>
      <c r="M22" s="7"/>
      <c r="N22" s="7"/>
      <c r="O22" s="7"/>
      <c r="P22" s="7"/>
      <c r="Q22" s="7"/>
    </row>
    <row r="23" spans="2:17" ht="13.15" customHeight="1">
      <c r="B23" s="19" t="str">
        <f ca="1">INDEX(T,9,language)</f>
        <v>Grekland</v>
      </c>
      <c r="C23" s="86">
        <v>35700</v>
      </c>
      <c r="D23" s="5"/>
      <c r="E23" s="5"/>
      <c r="F23" s="5"/>
      <c r="L23" s="7"/>
      <c r="M23" s="7"/>
      <c r="N23" s="7"/>
      <c r="O23" s="7"/>
      <c r="P23" s="7"/>
      <c r="Q23" s="7"/>
    </row>
    <row r="24" spans="2:17" ht="13.15" customHeight="1">
      <c r="B24" s="19" t="str">
        <f ca="1">INDEX(T,5,language)</f>
        <v>Danmark</v>
      </c>
      <c r="C24" s="86">
        <v>27525</v>
      </c>
      <c r="D24" s="5"/>
      <c r="E24" s="5"/>
      <c r="F24" s="5"/>
      <c r="L24" s="7"/>
      <c r="M24" s="7"/>
      <c r="N24" s="7"/>
      <c r="O24" s="7"/>
      <c r="P24" s="7"/>
      <c r="Q24" s="7"/>
    </row>
    <row r="25" spans="2:17" ht="13.15" customHeight="1">
      <c r="B25" s="19" t="str">
        <f ca="1">INDEX(T,4,language)</f>
        <v>Tjeckien</v>
      </c>
      <c r="C25" s="86">
        <v>20100</v>
      </c>
      <c r="D25" s="5"/>
      <c r="E25" s="5"/>
      <c r="F25" s="5"/>
      <c r="L25" s="7"/>
      <c r="M25" s="7"/>
      <c r="N25" s="7"/>
      <c r="O25" s="7"/>
      <c r="P25" s="7"/>
      <c r="Q25" s="7"/>
    </row>
    <row r="26" spans="2:17" ht="13.15" customHeight="1">
      <c r="B26" s="19" t="str">
        <f ca="1">INDEX(T,12,language)</f>
        <v>Polen</v>
      </c>
      <c r="C26" s="86">
        <v>19166</v>
      </c>
      <c r="D26" s="5"/>
      <c r="E26" s="5"/>
      <c r="F26" s="5"/>
      <c r="L26" s="7"/>
      <c r="M26" s="7"/>
      <c r="N26" s="7"/>
      <c r="O26" s="7"/>
      <c r="P26" s="7"/>
      <c r="Q26" s="7"/>
    </row>
    <row r="27" spans="2:17" ht="13.15" customHeight="1">
      <c r="B27" s="19" t="str">
        <f ca="1">INDEX(T,3,language)</f>
        <v>Kroatien</v>
      </c>
      <c r="C27" s="86">
        <v>18874</v>
      </c>
      <c r="D27" s="5"/>
      <c r="E27" s="5"/>
      <c r="F27" s="5"/>
      <c r="L27" s="7"/>
      <c r="M27" s="7"/>
      <c r="N27" s="7"/>
      <c r="O27" s="7"/>
      <c r="P27" s="7"/>
      <c r="Q27" s="7"/>
    </row>
    <row r="28" spans="2:17" ht="13.15" customHeight="1">
      <c r="B28" s="19" t="str">
        <f ca="1">INDEX(T,17,language)</f>
        <v>Sverige</v>
      </c>
      <c r="C28" s="86">
        <v>15900</v>
      </c>
      <c r="D28" s="5"/>
      <c r="E28" s="5"/>
      <c r="F28" s="5"/>
      <c r="L28" s="7"/>
      <c r="M28" s="7"/>
      <c r="N28" s="7"/>
      <c r="O28" s="7"/>
      <c r="P28" s="7"/>
      <c r="Q28" s="7"/>
    </row>
    <row r="29" spans="2:17" ht="13.15" customHeight="1">
      <c r="B29" s="20" t="str">
        <f ca="1">INDEX(T,14,language)</f>
        <v>Irland</v>
      </c>
      <c r="C29" s="87">
        <v>7375</v>
      </c>
      <c r="D29" s="5"/>
      <c r="E29" s="5"/>
      <c r="F29" s="5"/>
      <c r="L29" s="7"/>
      <c r="M29" s="7"/>
      <c r="N29" s="7"/>
      <c r="O29" s="7"/>
      <c r="P29" s="7"/>
      <c r="Q29" s="7"/>
    </row>
    <row r="30" spans="2:17" s="89" customFormat="1" ht="12.75" customHeight="1">
      <c r="B30" s="88"/>
      <c r="C30" s="88"/>
      <c r="D30" s="88"/>
      <c r="E30" s="88"/>
      <c r="F30" s="88"/>
      <c r="G30" s="88"/>
    </row>
    <row r="31" spans="2:17" s="89" customFormat="1" ht="13.15" hidden="1" customHeight="1">
      <c r="B31" s="33"/>
      <c r="C31" s="33">
        <f>TIME(VLOOKUP(C8,B32:C55,2,FALSE),VLOOKUP(C10,B58:C61,2,FALSE),0)+TIME(VLOOKUP(C6,B63:C64,2,FALSE),0,0)</f>
        <v>0.54166666666666663</v>
      </c>
    </row>
    <row r="32" spans="2:17" s="89" customFormat="1" ht="13.15" hidden="1" customHeight="1">
      <c r="B32" s="33" t="s">
        <v>733</v>
      </c>
      <c r="C32" s="33">
        <v>0</v>
      </c>
    </row>
    <row r="33" spans="2:7" s="89" customFormat="1" ht="13.15" hidden="1" customHeight="1">
      <c r="B33" s="33" t="s">
        <v>734</v>
      </c>
      <c r="C33" s="33">
        <v>1</v>
      </c>
    </row>
    <row r="34" spans="2:7" s="89" customFormat="1" ht="13.15" hidden="1" customHeight="1">
      <c r="B34" s="33" t="s">
        <v>735</v>
      </c>
      <c r="C34" s="33">
        <v>2</v>
      </c>
      <c r="D34" s="90"/>
      <c r="E34" s="90"/>
    </row>
    <row r="35" spans="2:7" s="89" customFormat="1" ht="13.15" hidden="1" customHeight="1">
      <c r="B35" s="33" t="s">
        <v>736</v>
      </c>
      <c r="C35" s="33">
        <v>3</v>
      </c>
      <c r="D35" s="90"/>
      <c r="E35" s="90"/>
    </row>
    <row r="36" spans="2:7" s="89" customFormat="1" ht="13.15" hidden="1" customHeight="1">
      <c r="B36" s="33" t="s">
        <v>738</v>
      </c>
      <c r="C36" s="33">
        <v>4</v>
      </c>
      <c r="F36" s="88"/>
      <c r="G36" s="88"/>
    </row>
    <row r="37" spans="2:7" s="89" customFormat="1" ht="13.15" hidden="1" customHeight="1">
      <c r="B37" s="33" t="s">
        <v>739</v>
      </c>
      <c r="C37" s="33">
        <v>5</v>
      </c>
      <c r="F37" s="88"/>
      <c r="G37" s="88"/>
    </row>
    <row r="38" spans="2:7" s="89" customFormat="1" ht="13.15" hidden="1" customHeight="1">
      <c r="B38" s="33" t="s">
        <v>740</v>
      </c>
      <c r="C38" s="33">
        <v>6</v>
      </c>
      <c r="F38" s="88"/>
      <c r="G38" s="88"/>
    </row>
    <row r="39" spans="2:7" s="89" customFormat="1" ht="13.15" hidden="1" customHeight="1">
      <c r="B39" s="33" t="s">
        <v>741</v>
      </c>
      <c r="C39" s="33">
        <v>7</v>
      </c>
      <c r="F39" s="88"/>
      <c r="G39" s="88"/>
    </row>
    <row r="40" spans="2:7" s="89" customFormat="1" ht="13.15" hidden="1" customHeight="1">
      <c r="B40" s="33" t="s">
        <v>742</v>
      </c>
      <c r="C40" s="33">
        <v>8</v>
      </c>
      <c r="F40" s="88"/>
      <c r="G40" s="88"/>
    </row>
    <row r="41" spans="2:7" s="89" customFormat="1" ht="13.15" hidden="1" customHeight="1">
      <c r="B41" s="33" t="s">
        <v>743</v>
      </c>
      <c r="C41" s="33">
        <v>9</v>
      </c>
      <c r="F41" s="88"/>
      <c r="G41" s="88"/>
    </row>
    <row r="42" spans="2:7" s="89" customFormat="1" ht="13.15" hidden="1" customHeight="1">
      <c r="B42" s="33" t="s">
        <v>744</v>
      </c>
      <c r="C42" s="33">
        <v>10</v>
      </c>
      <c r="F42" s="88"/>
      <c r="G42" s="88"/>
    </row>
    <row r="43" spans="2:7" s="89" customFormat="1" ht="13.15" hidden="1" customHeight="1">
      <c r="B43" s="33" t="s">
        <v>737</v>
      </c>
      <c r="C43" s="33">
        <v>11</v>
      </c>
      <c r="F43" s="88"/>
      <c r="G43" s="88"/>
    </row>
    <row r="44" spans="2:7" s="89" customFormat="1" ht="13.15" hidden="1" customHeight="1">
      <c r="B44" s="33" t="s">
        <v>745</v>
      </c>
      <c r="C44" s="33">
        <v>12</v>
      </c>
      <c r="F44" s="88"/>
      <c r="G44" s="88"/>
    </row>
    <row r="45" spans="2:7" s="89" customFormat="1" ht="13.15" hidden="1" customHeight="1">
      <c r="B45" s="33" t="s">
        <v>746</v>
      </c>
      <c r="C45" s="33">
        <v>13</v>
      </c>
      <c r="F45" s="88"/>
      <c r="G45" s="88"/>
    </row>
    <row r="46" spans="2:7" s="89" customFormat="1" ht="13.15" hidden="1" customHeight="1">
      <c r="B46" s="33" t="s">
        <v>747</v>
      </c>
      <c r="C46" s="33">
        <v>14</v>
      </c>
      <c r="F46" s="88"/>
      <c r="G46" s="88"/>
    </row>
    <row r="47" spans="2:7" s="89" customFormat="1" ht="13.15" hidden="1" customHeight="1">
      <c r="B47" s="33" t="s">
        <v>748</v>
      </c>
      <c r="C47" s="33">
        <v>15</v>
      </c>
      <c r="F47" s="88"/>
      <c r="G47" s="88"/>
    </row>
    <row r="48" spans="2:7" s="89" customFormat="1" ht="13.15" hidden="1" customHeight="1">
      <c r="B48" s="33" t="s">
        <v>749</v>
      </c>
      <c r="C48" s="33">
        <v>16</v>
      </c>
      <c r="F48" s="88"/>
      <c r="G48" s="88"/>
    </row>
    <row r="49" spans="2:7" s="89" customFormat="1" ht="13.15" hidden="1" customHeight="1">
      <c r="B49" s="33" t="s">
        <v>750</v>
      </c>
      <c r="C49" s="33">
        <v>17</v>
      </c>
      <c r="F49" s="88"/>
      <c r="G49" s="88"/>
    </row>
    <row r="50" spans="2:7" s="89" customFormat="1" ht="13.15" hidden="1" customHeight="1">
      <c r="B50" s="33" t="s">
        <v>751</v>
      </c>
      <c r="C50" s="33">
        <v>18</v>
      </c>
      <c r="F50" s="88"/>
      <c r="G50" s="88"/>
    </row>
    <row r="51" spans="2:7" s="89" customFormat="1" ht="13.15" hidden="1" customHeight="1">
      <c r="B51" s="33" t="s">
        <v>752</v>
      </c>
      <c r="C51" s="33">
        <v>19</v>
      </c>
      <c r="F51" s="88"/>
      <c r="G51" s="88"/>
    </row>
    <row r="52" spans="2:7" s="89" customFormat="1" ht="13.15" hidden="1" customHeight="1">
      <c r="B52" s="33" t="s">
        <v>753</v>
      </c>
      <c r="C52" s="33">
        <v>20</v>
      </c>
      <c r="F52" s="88"/>
      <c r="G52" s="88"/>
    </row>
    <row r="53" spans="2:7" s="89" customFormat="1" ht="13.15" hidden="1" customHeight="1">
      <c r="B53" s="33" t="s">
        <v>754</v>
      </c>
      <c r="C53" s="33">
        <v>21</v>
      </c>
      <c r="F53" s="88"/>
      <c r="G53" s="88"/>
    </row>
    <row r="54" spans="2:7" s="89" customFormat="1" ht="13.15" hidden="1" customHeight="1">
      <c r="B54" s="33" t="s">
        <v>755</v>
      </c>
      <c r="C54" s="33">
        <v>22</v>
      </c>
      <c r="F54" s="88"/>
      <c r="G54" s="88"/>
    </row>
    <row r="55" spans="2:7" s="89" customFormat="1" ht="13.15" hidden="1" customHeight="1">
      <c r="B55" s="33" t="s">
        <v>756</v>
      </c>
      <c r="C55" s="33">
        <v>23</v>
      </c>
      <c r="F55" s="88"/>
      <c r="G55" s="88"/>
    </row>
    <row r="56" spans="2:7" s="89" customFormat="1" ht="13.15" hidden="1" customHeight="1">
      <c r="B56" s="33"/>
      <c r="C56" s="33"/>
      <c r="F56" s="88"/>
      <c r="G56" s="88"/>
    </row>
    <row r="57" spans="2:7" s="89" customFormat="1" ht="13.15" hidden="1" customHeight="1">
      <c r="B57" s="33"/>
      <c r="C57" s="33">
        <f ca="1">VLOOKUP(Settings!C10,B58:C61,2,FALSE)</f>
        <v>0</v>
      </c>
      <c r="F57" s="88"/>
      <c r="G57" s="88"/>
    </row>
    <row r="58" spans="2:7" s="89" customFormat="1" ht="13.15" hidden="1" customHeight="1">
      <c r="B58" s="34" t="s">
        <v>698</v>
      </c>
      <c r="C58" s="33">
        <v>0</v>
      </c>
      <c r="F58" s="88"/>
      <c r="G58" s="88"/>
    </row>
    <row r="59" spans="2:7" s="89" customFormat="1" ht="13.15" hidden="1" customHeight="1">
      <c r="B59" s="34" t="s">
        <v>699</v>
      </c>
      <c r="C59" s="33">
        <v>15</v>
      </c>
      <c r="F59" s="88"/>
      <c r="G59" s="88"/>
    </row>
    <row r="60" spans="2:7" s="89" customFormat="1" ht="13.15" hidden="1" customHeight="1">
      <c r="B60" s="34" t="s">
        <v>700</v>
      </c>
      <c r="C60" s="33">
        <v>30</v>
      </c>
      <c r="F60" s="88"/>
      <c r="G60" s="88"/>
    </row>
    <row r="61" spans="2:7" s="89" customFormat="1" ht="13.15" hidden="1" customHeight="1">
      <c r="B61" s="34" t="s">
        <v>701</v>
      </c>
      <c r="C61" s="33">
        <v>45</v>
      </c>
      <c r="F61" s="88"/>
      <c r="G61" s="88"/>
    </row>
    <row r="62" spans="2:7" s="89" customFormat="1" ht="13.15" hidden="1" customHeight="1">
      <c r="B62" s="34"/>
      <c r="C62" s="33"/>
      <c r="F62" s="88"/>
      <c r="G62" s="88"/>
    </row>
    <row r="63" spans="2:7" s="89" customFormat="1" ht="13.15" hidden="1" customHeight="1">
      <c r="B63" s="33" t="s">
        <v>264</v>
      </c>
      <c r="C63" s="33">
        <v>1</v>
      </c>
      <c r="F63" s="88"/>
      <c r="G63" s="88"/>
    </row>
    <row r="64" spans="2:7" s="89" customFormat="1" ht="13.15" hidden="1" customHeight="1">
      <c r="B64" s="33" t="s">
        <v>265</v>
      </c>
      <c r="C64" s="33">
        <v>0</v>
      </c>
      <c r="F64" s="88"/>
      <c r="G64" s="88"/>
    </row>
    <row r="65" spans="2:7" s="89" customFormat="1" ht="13.15" hidden="1" customHeight="1">
      <c r="B65" s="33"/>
      <c r="C65" s="33"/>
      <c r="F65" s="88"/>
      <c r="G65" s="88"/>
    </row>
    <row r="66" spans="2:7" s="89" customFormat="1" ht="13.15" hidden="1" customHeight="1">
      <c r="B66" s="33"/>
      <c r="C66" s="33">
        <f ca="1">VLOOKUP(Settings!C4,B67:C102,2,FALSE)</f>
        <v>17</v>
      </c>
      <c r="F66" s="88"/>
      <c r="G66" s="88"/>
    </row>
    <row r="67" spans="2:7" s="89" customFormat="1" ht="13.15" hidden="1" customHeight="1">
      <c r="B67" s="33" t="s">
        <v>27</v>
      </c>
      <c r="C67" s="33">
        <v>21</v>
      </c>
      <c r="E67" s="91"/>
      <c r="F67" s="88"/>
      <c r="G67" s="88"/>
    </row>
    <row r="68" spans="2:7" s="89" customFormat="1" ht="13.15" hidden="1" customHeight="1">
      <c r="B68" s="33" t="s">
        <v>858</v>
      </c>
      <c r="C68" s="35">
        <v>35</v>
      </c>
      <c r="E68" s="91"/>
      <c r="F68" s="88"/>
      <c r="G68" s="88"/>
    </row>
    <row r="69" spans="2:7" s="89" customFormat="1" ht="13.15" hidden="1" customHeight="1">
      <c r="B69" s="33" t="s">
        <v>148</v>
      </c>
      <c r="C69" s="35">
        <v>28</v>
      </c>
      <c r="E69" s="91"/>
      <c r="F69" s="88"/>
      <c r="G69" s="88"/>
    </row>
    <row r="70" spans="2:7" s="89" customFormat="1" ht="13.15" hidden="1" customHeight="1">
      <c r="B70" s="33" t="s">
        <v>90</v>
      </c>
      <c r="C70" s="35">
        <v>22</v>
      </c>
      <c r="E70" s="91"/>
      <c r="F70" s="88"/>
      <c r="G70" s="88"/>
    </row>
    <row r="71" spans="2:7" s="89" customFormat="1" ht="13.15" hidden="1" customHeight="1">
      <c r="B71" s="33" t="s">
        <v>1300</v>
      </c>
      <c r="C71" s="33">
        <v>23</v>
      </c>
      <c r="E71" s="91"/>
      <c r="F71" s="88"/>
      <c r="G71" s="88"/>
    </row>
    <row r="72" spans="2:7" s="89" customFormat="1" ht="13.15" hidden="1" customHeight="1">
      <c r="B72" s="33" t="s">
        <v>1301</v>
      </c>
      <c r="C72" s="33">
        <v>19</v>
      </c>
      <c r="E72" s="91"/>
      <c r="F72" s="88"/>
      <c r="G72" s="88"/>
    </row>
    <row r="73" spans="2:7" s="89" customFormat="1" ht="13.15" hidden="1" customHeight="1">
      <c r="B73" s="33" t="s">
        <v>266</v>
      </c>
      <c r="C73" s="35">
        <v>14</v>
      </c>
      <c r="E73" s="91"/>
      <c r="F73" s="88"/>
      <c r="G73" s="88"/>
    </row>
    <row r="74" spans="2:7" s="89" customFormat="1" ht="13.15" hidden="1" customHeight="1">
      <c r="B74" s="33" t="s">
        <v>1340</v>
      </c>
      <c r="C74" s="33">
        <v>13</v>
      </c>
      <c r="E74" s="91"/>
      <c r="F74" s="88"/>
      <c r="G74" s="88"/>
    </row>
    <row r="75" spans="2:7" s="89" customFormat="1" ht="13.15" hidden="1" customHeight="1">
      <c r="B75" s="33" t="s">
        <v>1221</v>
      </c>
      <c r="C75" s="35">
        <v>12</v>
      </c>
      <c r="E75" s="91"/>
      <c r="F75" s="88"/>
      <c r="G75" s="88"/>
    </row>
    <row r="76" spans="2:7" s="89" customFormat="1" ht="12.75" hidden="1" customHeight="1">
      <c r="B76" s="33" t="s">
        <v>757</v>
      </c>
      <c r="C76" s="35">
        <v>1</v>
      </c>
      <c r="E76" s="91"/>
      <c r="F76" s="88"/>
      <c r="G76" s="88"/>
    </row>
    <row r="77" spans="2:7" s="89" customFormat="1" ht="13.15" hidden="1" customHeight="1">
      <c r="B77" s="33" t="s">
        <v>577</v>
      </c>
      <c r="C77" s="35">
        <v>2</v>
      </c>
      <c r="E77" s="91"/>
      <c r="F77" s="88"/>
      <c r="G77" s="88"/>
    </row>
    <row r="78" spans="2:7" s="89" customFormat="1" ht="12.75" hidden="1" customHeight="1">
      <c r="B78" s="33" t="s">
        <v>390</v>
      </c>
      <c r="C78" s="35">
        <v>33</v>
      </c>
      <c r="E78" s="91"/>
      <c r="F78" s="88"/>
      <c r="G78" s="88"/>
    </row>
    <row r="79" spans="2:7" s="89" customFormat="1" ht="12.75" hidden="1" customHeight="1">
      <c r="B79" s="33" t="s">
        <v>758</v>
      </c>
      <c r="C79" s="33">
        <v>3</v>
      </c>
      <c r="E79" s="91"/>
      <c r="F79" s="88"/>
      <c r="G79" s="90"/>
    </row>
    <row r="80" spans="2:7" s="89" customFormat="1" ht="13.15" hidden="1" customHeight="1">
      <c r="B80" s="33" t="s">
        <v>1104</v>
      </c>
      <c r="C80" s="35">
        <v>24</v>
      </c>
      <c r="E80" s="91"/>
      <c r="F80" s="88"/>
      <c r="G80" s="90"/>
    </row>
    <row r="81" spans="2:17" s="89" customFormat="1" ht="13.15" hidden="1" customHeight="1">
      <c r="B81" s="36" t="s">
        <v>561</v>
      </c>
      <c r="C81" s="35">
        <v>34</v>
      </c>
      <c r="E81" s="91"/>
      <c r="F81" s="88"/>
      <c r="G81" s="90"/>
    </row>
    <row r="82" spans="2:17" s="89" customFormat="1" ht="12.75" hidden="1" customHeight="1">
      <c r="B82" s="33" t="s">
        <v>1068</v>
      </c>
      <c r="C82" s="33">
        <v>10</v>
      </c>
      <c r="E82" s="91"/>
      <c r="F82" s="88"/>
      <c r="G82" s="90"/>
    </row>
    <row r="83" spans="2:17" s="89" customFormat="1" ht="12.75" hidden="1" customHeight="1">
      <c r="B83" s="33" t="s">
        <v>428</v>
      </c>
      <c r="C83" s="33">
        <v>9</v>
      </c>
      <c r="E83" s="91"/>
      <c r="F83" s="91"/>
      <c r="L83" s="90"/>
      <c r="M83" s="90"/>
      <c r="N83" s="90"/>
      <c r="O83" s="90"/>
      <c r="P83" s="90"/>
      <c r="Q83" s="90"/>
    </row>
    <row r="84" spans="2:17" s="89" customFormat="1" ht="13.15" hidden="1" customHeight="1">
      <c r="B84" s="33" t="s">
        <v>579</v>
      </c>
      <c r="C84" s="33">
        <v>5</v>
      </c>
      <c r="E84" s="91"/>
      <c r="F84" s="91"/>
      <c r="L84" s="90"/>
      <c r="M84" s="90"/>
      <c r="N84" s="90"/>
      <c r="O84" s="90"/>
      <c r="P84" s="90"/>
      <c r="Q84" s="90"/>
    </row>
    <row r="85" spans="2:17" s="89" customFormat="1" ht="12.75" hidden="1" customHeight="1">
      <c r="B85" s="33" t="s">
        <v>206</v>
      </c>
      <c r="C85" s="35">
        <v>32</v>
      </c>
      <c r="E85" s="91"/>
      <c r="F85" s="91"/>
      <c r="L85" s="90"/>
      <c r="M85" s="90"/>
      <c r="N85" s="90"/>
      <c r="O85" s="90"/>
      <c r="P85" s="90"/>
      <c r="Q85" s="90"/>
    </row>
    <row r="86" spans="2:17" s="89" customFormat="1" ht="12.75" hidden="1" customHeight="1">
      <c r="B86" s="33" t="s">
        <v>987</v>
      </c>
      <c r="C86" s="35">
        <v>8</v>
      </c>
      <c r="E86" s="91"/>
      <c r="F86" s="91"/>
      <c r="L86" s="90"/>
      <c r="M86" s="90"/>
      <c r="N86" s="90"/>
      <c r="O86" s="90"/>
      <c r="P86" s="90"/>
      <c r="Q86" s="90"/>
    </row>
    <row r="87" spans="2:17" s="89" customFormat="1" ht="13.15" hidden="1" customHeight="1">
      <c r="B87" s="33" t="s">
        <v>329</v>
      </c>
      <c r="C87" s="35">
        <v>25</v>
      </c>
      <c r="E87" s="91"/>
      <c r="F87" s="91"/>
      <c r="L87" s="90"/>
      <c r="M87" s="90"/>
      <c r="N87" s="90"/>
      <c r="O87" s="90"/>
      <c r="P87" s="90"/>
      <c r="Q87" s="90"/>
    </row>
    <row r="88" spans="2:17" s="89" customFormat="1" ht="13.15" hidden="1" customHeight="1">
      <c r="B88" s="33" t="s">
        <v>306</v>
      </c>
      <c r="C88" s="35">
        <v>18</v>
      </c>
      <c r="E88" s="91"/>
      <c r="F88" s="91"/>
      <c r="L88" s="90"/>
      <c r="M88" s="90"/>
      <c r="N88" s="90"/>
      <c r="O88" s="90"/>
      <c r="P88" s="90"/>
      <c r="Q88" s="90"/>
    </row>
    <row r="89" spans="2:17" s="89" customFormat="1" ht="12.75" hidden="1" customHeight="1">
      <c r="B89" s="33" t="s">
        <v>219</v>
      </c>
      <c r="C89" s="35">
        <v>36</v>
      </c>
      <c r="E89" s="91"/>
      <c r="F89" s="91"/>
      <c r="L89" s="90"/>
      <c r="M89" s="90"/>
      <c r="N89" s="90"/>
      <c r="O89" s="90"/>
      <c r="P89" s="90"/>
      <c r="Q89" s="90"/>
    </row>
    <row r="90" spans="2:17" s="89" customFormat="1" ht="13.15" hidden="1" customHeight="1">
      <c r="B90" s="33" t="s">
        <v>857</v>
      </c>
      <c r="C90" s="33">
        <v>7</v>
      </c>
      <c r="E90" s="91"/>
      <c r="F90" s="91"/>
      <c r="L90" s="90"/>
      <c r="M90" s="90"/>
      <c r="N90" s="90"/>
      <c r="O90" s="90"/>
      <c r="P90" s="90"/>
      <c r="Q90" s="90"/>
    </row>
    <row r="91" spans="2:17" s="89" customFormat="1" ht="13.15" hidden="1" customHeight="1">
      <c r="B91" s="33" t="s">
        <v>580</v>
      </c>
      <c r="C91" s="33">
        <v>6</v>
      </c>
      <c r="E91" s="91"/>
      <c r="F91" s="91"/>
      <c r="L91" s="90"/>
      <c r="M91" s="90"/>
      <c r="N91" s="90"/>
      <c r="O91" s="90"/>
      <c r="P91" s="90"/>
      <c r="Q91" s="90"/>
    </row>
    <row r="92" spans="2:17" s="89" customFormat="1" ht="12.75" hidden="1" customHeight="1">
      <c r="B92" s="33" t="s">
        <v>1099</v>
      </c>
      <c r="C92" s="33">
        <v>11</v>
      </c>
      <c r="E92" s="91"/>
      <c r="F92" s="91"/>
      <c r="L92" s="90"/>
      <c r="M92" s="90"/>
      <c r="N92" s="90"/>
      <c r="O92" s="90"/>
      <c r="P92" s="90"/>
      <c r="Q92" s="90"/>
    </row>
    <row r="93" spans="2:17" s="89" customFormat="1" ht="12.75" hidden="1" customHeight="1">
      <c r="B93" s="33" t="s">
        <v>696</v>
      </c>
      <c r="C93" s="35">
        <v>26</v>
      </c>
      <c r="E93" s="91"/>
      <c r="F93" s="91"/>
      <c r="L93" s="90"/>
      <c r="M93" s="90"/>
      <c r="N93" s="90"/>
      <c r="O93" s="90"/>
      <c r="P93" s="90"/>
      <c r="Q93" s="90"/>
    </row>
    <row r="94" spans="2:17" s="89" customFormat="1" ht="12.75" hidden="1" customHeight="1">
      <c r="B94" s="33" t="s">
        <v>26</v>
      </c>
      <c r="C94" s="33">
        <v>20</v>
      </c>
      <c r="E94" s="91"/>
      <c r="F94" s="91"/>
      <c r="L94" s="90"/>
      <c r="M94" s="90"/>
      <c r="N94" s="90"/>
      <c r="O94" s="90"/>
      <c r="P94" s="90"/>
      <c r="Q94" s="90"/>
    </row>
    <row r="95" spans="2:17" s="89" customFormat="1" ht="13.15" hidden="1" customHeight="1">
      <c r="B95" s="33" t="s">
        <v>519</v>
      </c>
      <c r="C95" s="35">
        <v>16</v>
      </c>
      <c r="E95" s="91"/>
      <c r="F95" s="91"/>
      <c r="L95" s="90"/>
      <c r="M95" s="90"/>
      <c r="N95" s="90"/>
      <c r="O95" s="90"/>
      <c r="P95" s="90"/>
      <c r="Q95" s="90"/>
    </row>
    <row r="96" spans="2:17" s="89" customFormat="1" ht="12.75" hidden="1" customHeight="1">
      <c r="B96" s="33" t="s">
        <v>1259</v>
      </c>
      <c r="C96" s="35">
        <v>15</v>
      </c>
      <c r="E96" s="91"/>
      <c r="F96" s="91"/>
      <c r="L96" s="90"/>
      <c r="M96" s="90"/>
      <c r="N96" s="90"/>
      <c r="O96" s="90"/>
      <c r="P96" s="90"/>
      <c r="Q96" s="90"/>
    </row>
    <row r="97" spans="2:17" s="89" customFormat="1" ht="12.75" hidden="1" customHeight="1">
      <c r="B97" s="33" t="s">
        <v>578</v>
      </c>
      <c r="C97" s="33">
        <v>4</v>
      </c>
      <c r="E97" s="91"/>
      <c r="F97" s="91"/>
      <c r="L97" s="90"/>
      <c r="M97" s="90"/>
      <c r="N97" s="90"/>
      <c r="O97" s="90"/>
      <c r="P97" s="90"/>
      <c r="Q97" s="90"/>
    </row>
    <row r="98" spans="2:17" s="89" customFormat="1" ht="12.75" hidden="1" customHeight="1">
      <c r="B98" s="33" t="s">
        <v>149</v>
      </c>
      <c r="C98" s="33">
        <v>17</v>
      </c>
      <c r="E98" s="91"/>
      <c r="F98" s="91"/>
      <c r="L98" s="90"/>
      <c r="M98" s="90"/>
      <c r="N98" s="90"/>
      <c r="O98" s="90"/>
      <c r="P98" s="90"/>
      <c r="Q98" s="90"/>
    </row>
    <row r="99" spans="2:17" s="89" customFormat="1" ht="12.75" hidden="1" customHeight="1">
      <c r="B99" s="33" t="s">
        <v>988</v>
      </c>
      <c r="C99" s="35">
        <v>30</v>
      </c>
      <c r="E99" s="91"/>
      <c r="F99" s="91"/>
      <c r="L99" s="90"/>
      <c r="M99" s="90"/>
      <c r="N99" s="90"/>
      <c r="O99" s="90"/>
      <c r="P99" s="90"/>
      <c r="Q99" s="90"/>
    </row>
    <row r="100" spans="2:17" s="89" customFormat="1" ht="12.75" hidden="1" customHeight="1">
      <c r="B100" s="33" t="s">
        <v>304</v>
      </c>
      <c r="C100" s="33">
        <v>27</v>
      </c>
      <c r="E100" s="91"/>
      <c r="F100" s="91"/>
      <c r="L100" s="90"/>
      <c r="M100" s="90"/>
      <c r="N100" s="90"/>
      <c r="O100" s="90"/>
      <c r="P100" s="90"/>
      <c r="Q100" s="90"/>
    </row>
    <row r="101" spans="2:17" s="89" customFormat="1" ht="12.75" hidden="1" customHeight="1">
      <c r="B101" s="33" t="s">
        <v>58</v>
      </c>
      <c r="C101" s="35">
        <v>29</v>
      </c>
      <c r="E101" s="91"/>
      <c r="F101" s="91"/>
      <c r="L101" s="90"/>
      <c r="M101" s="90"/>
      <c r="N101" s="90"/>
      <c r="O101" s="90"/>
      <c r="P101" s="90"/>
      <c r="Q101" s="90"/>
    </row>
    <row r="102" spans="2:17" s="89" customFormat="1" ht="12.75" hidden="1" customHeight="1">
      <c r="B102" s="33" t="s">
        <v>1134</v>
      </c>
      <c r="C102" s="33">
        <v>31</v>
      </c>
      <c r="L102" s="90"/>
      <c r="M102" s="90"/>
      <c r="N102" s="90"/>
      <c r="O102" s="90"/>
      <c r="P102" s="90"/>
      <c r="Q102" s="90"/>
    </row>
    <row r="103" spans="2:17" s="89" customFormat="1" ht="13.15" customHeight="1">
      <c r="C103" s="91"/>
      <c r="L103" s="90"/>
      <c r="M103" s="90"/>
      <c r="N103" s="90"/>
      <c r="O103" s="90"/>
      <c r="P103" s="90"/>
      <c r="Q103" s="90"/>
    </row>
  </sheetData>
  <sheetProtection password="81D4" sheet="1" objects="1" scenarios="1"/>
  <phoneticPr fontId="0" type="noConversion"/>
  <dataValidations xWindow="231" yWindow="193" count="4">
    <dataValidation type="list" allowBlank="1" showInputMessage="1" showErrorMessage="1" promptTitle="Select Minutes" prompt="Use drop-down List" sqref="C10">
      <formula1>$B$58:$B$61</formula1>
    </dataValidation>
    <dataValidation type="list" allowBlank="1" showInputMessage="1" showErrorMessage="1" promptTitle="Select GTM-time" prompt="Use drop-down List" sqref="C8">
      <formula1>$B$32:$B$55</formula1>
    </dataValidation>
    <dataValidation type="list" allowBlank="1" showErrorMessage="1" sqref="C6">
      <formula1>$B$63:$B$64</formula1>
    </dataValidation>
    <dataValidation type="list" allowBlank="1" showInputMessage="1" showErrorMessage="1" promptTitle="Select Language" prompt="Use drop-down List" sqref="C4">
      <formula1>$B$67:$B$102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BJ52"/>
  <sheetViews>
    <sheetView showGridLines="0" tabSelected="1" workbookViewId="0">
      <selection activeCell="E7" sqref="E7"/>
    </sheetView>
  </sheetViews>
  <sheetFormatPr defaultRowHeight="12.75"/>
  <cols>
    <col min="1" max="1" width="9.1640625" style="38" customWidth="1"/>
    <col min="2" max="2" width="7.33203125" style="38" customWidth="1"/>
    <col min="3" max="3" width="13.83203125" style="38" bestFit="1" customWidth="1"/>
    <col min="4" max="4" width="31.5" style="38" customWidth="1"/>
    <col min="5" max="6" width="4.33203125" style="38" customWidth="1"/>
    <col min="7" max="7" width="31.5" style="38" customWidth="1"/>
    <col min="8" max="9" width="4.33203125" style="38" customWidth="1"/>
    <col min="10" max="10" width="1.5" style="38" customWidth="1"/>
    <col min="11" max="11" width="23.1640625" style="38" customWidth="1"/>
    <col min="12" max="14" width="7" style="38" customWidth="1"/>
    <col min="15" max="15" width="8.6640625" style="38" customWidth="1"/>
    <col min="16" max="16" width="7" style="38" customWidth="1"/>
    <col min="17" max="17" width="4.1640625" style="37" customWidth="1"/>
    <col min="18" max="18" width="17.6640625" style="84" hidden="1" customWidth="1"/>
    <col min="19" max="19" width="7.5" style="84" hidden="1" customWidth="1"/>
    <col min="20" max="20" width="15.5" style="84" hidden="1" customWidth="1"/>
    <col min="21" max="27" width="7.83203125" style="84" hidden="1" customWidth="1"/>
    <col min="28" max="28" width="14.6640625" style="84" hidden="1" customWidth="1"/>
    <col min="29" max="29" width="5.83203125" style="84" hidden="1" customWidth="1"/>
    <col min="30" max="30" width="14.1640625" style="84" hidden="1" customWidth="1"/>
    <col min="31" max="31" width="22.6640625" style="84" hidden="1" customWidth="1"/>
    <col min="32" max="36" width="3.5" style="84" hidden="1" customWidth="1"/>
    <col min="37" max="37" width="4.5" style="84" hidden="1" customWidth="1"/>
    <col min="38" max="38" width="9" style="84" hidden="1" customWidth="1"/>
    <col min="39" max="39" width="9.33203125" style="84" hidden="1" customWidth="1"/>
    <col min="40" max="40" width="2.5" style="84" hidden="1" customWidth="1"/>
    <col min="41" max="41" width="24.6640625" style="84" hidden="1" customWidth="1"/>
    <col min="42" max="42" width="2.6640625" style="84" hidden="1" customWidth="1"/>
    <col min="43" max="43" width="19.1640625" style="84" hidden="1" customWidth="1"/>
    <col min="44" max="44" width="2.6640625" style="84" hidden="1" customWidth="1"/>
    <col min="45" max="45" width="24.6640625" style="84" hidden="1" customWidth="1"/>
    <col min="46" max="46" width="2.6640625" style="84" hidden="1" customWidth="1"/>
    <col min="47" max="47" width="19.33203125" style="84" hidden="1" customWidth="1"/>
    <col min="48" max="48" width="2.6640625" style="84" hidden="1" customWidth="1"/>
    <col min="49" max="52" width="15.6640625" style="84" hidden="1" customWidth="1"/>
    <col min="53" max="53" width="19.33203125" style="84" hidden="1" customWidth="1"/>
    <col min="54" max="54" width="2.6640625" style="84" hidden="1" customWidth="1"/>
    <col min="55" max="55" width="19.33203125" style="84" hidden="1" customWidth="1"/>
    <col min="56" max="56" width="2.6640625" style="84" hidden="1" customWidth="1"/>
    <col min="57" max="57" width="19.33203125" style="84" hidden="1" customWidth="1"/>
    <col min="58" max="58" width="2.6640625" style="84" hidden="1" customWidth="1"/>
    <col min="59" max="59" width="19.33203125" style="84" hidden="1" customWidth="1"/>
    <col min="60" max="60" width="2.6640625" style="84" hidden="1" customWidth="1"/>
    <col min="61" max="62" width="0" style="84" hidden="1" customWidth="1"/>
    <col min="63" max="16384" width="9.33203125" style="38"/>
  </cols>
  <sheetData>
    <row r="1" spans="1:60" ht="30.75" customHeight="1">
      <c r="A1" s="102" t="str">
        <f ca="1">INDEX(T,2,language)</f>
        <v>UEFA EURO 2012 Spelplan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60" ht="6.75" customHeight="1"/>
    <row r="3" spans="1:60" ht="30.75" customHeight="1">
      <c r="A3" s="39" t="str">
        <f ca="1">INDEX(T,60,language)</f>
        <v>Version: May 13, 2012</v>
      </c>
      <c r="D3" s="123" t="s">
        <v>1741</v>
      </c>
      <c r="E3" s="124"/>
      <c r="F3" s="124"/>
      <c r="G3" s="124"/>
      <c r="H3" s="124"/>
      <c r="I3" s="125"/>
      <c r="K3" s="107" t="str">
        <f ca="1">CONCATENATE(INDEX(T,61,language),"")</f>
        <v>Besök hemsidan</v>
      </c>
      <c r="L3" s="108"/>
      <c r="M3" s="109"/>
      <c r="N3" s="97" t="str">
        <f ca="1">"Language: " &amp; Settings!C4</f>
        <v>Language: Swedish</v>
      </c>
      <c r="O3" s="97"/>
      <c r="P3" s="97"/>
    </row>
    <row r="4" spans="1:60" ht="5.45" customHeight="1"/>
    <row r="5" spans="1:60" ht="11.25" customHeight="1">
      <c r="A5" s="40"/>
      <c r="B5" s="41"/>
      <c r="C5" s="41"/>
      <c r="D5" s="98" t="str">
        <f ca="1">INDEX(T,25,language)</f>
        <v>Första omg</v>
      </c>
      <c r="E5" s="98"/>
      <c r="F5" s="98"/>
      <c r="G5" s="98"/>
      <c r="H5" s="41"/>
      <c r="I5" s="42"/>
      <c r="K5" s="104" t="str">
        <f ca="1">INDEX(T,24,language) &amp; " A"</f>
        <v>Grupp A</v>
      </c>
      <c r="L5" s="95" t="str">
        <f ca="1">INDEX(T,19,language)</f>
        <v>V</v>
      </c>
      <c r="M5" s="95" t="str">
        <f ca="1">INDEX(T,20,language)</f>
        <v>O</v>
      </c>
      <c r="N5" s="95" t="str">
        <f ca="1">INDEX(T,21,language)</f>
        <v>F</v>
      </c>
      <c r="O5" s="95" t="str">
        <f ca="1">INDEX(T,22,language)</f>
        <v>Målsk</v>
      </c>
      <c r="P5" s="93" t="str">
        <f ca="1">INDEX(T,23,language)</f>
        <v>P</v>
      </c>
    </row>
    <row r="6" spans="1:60" ht="13.5" customHeight="1">
      <c r="A6" s="43"/>
      <c r="B6" s="44"/>
      <c r="C6" s="44"/>
      <c r="D6" s="99"/>
      <c r="E6" s="99"/>
      <c r="F6" s="99"/>
      <c r="G6" s="99"/>
      <c r="H6" s="44"/>
      <c r="I6" s="45"/>
      <c r="K6" s="105"/>
      <c r="L6" s="96"/>
      <c r="M6" s="96"/>
      <c r="N6" s="96"/>
      <c r="O6" s="96"/>
      <c r="P6" s="103"/>
      <c r="R6" s="84" t="s">
        <v>1681</v>
      </c>
      <c r="S6" s="84" t="s">
        <v>711</v>
      </c>
      <c r="U6" s="84" t="s">
        <v>712</v>
      </c>
      <c r="V6" s="84" t="s">
        <v>713</v>
      </c>
      <c r="W6" s="84" t="s">
        <v>714</v>
      </c>
      <c r="X6" s="84" t="s">
        <v>715</v>
      </c>
      <c r="Y6" s="84" t="s">
        <v>716</v>
      </c>
      <c r="Z6" s="84" t="s">
        <v>710</v>
      </c>
      <c r="AA6" s="84" t="s">
        <v>1680</v>
      </c>
      <c r="AB6" s="84" t="s">
        <v>732</v>
      </c>
    </row>
    <row r="7" spans="1:60" ht="13.5" customHeight="1">
      <c r="A7" s="46" t="str">
        <f ca="1">DAY(R7) &amp; " " &amp; INDEX(T,47+MONTH(R7),language)</f>
        <v>8 jun</v>
      </c>
      <c r="B7" s="47" t="str">
        <f>TEXT(HOUR(R7),"00")&amp;":"&amp;TEXT(MINUTE(R7),"00")</f>
        <v>18:00</v>
      </c>
      <c r="C7" s="48" t="s">
        <v>1682</v>
      </c>
      <c r="D7" s="49" t="str">
        <f>T7</f>
        <v>Polen</v>
      </c>
      <c r="E7" s="76"/>
      <c r="F7" s="76"/>
      <c r="G7" s="50" t="str">
        <f>T8</f>
        <v>Grekland</v>
      </c>
      <c r="H7" s="121" t="str">
        <f>$K$5</f>
        <v>Grupp A</v>
      </c>
      <c r="I7" s="122"/>
      <c r="K7" s="51" t="str">
        <f>VLOOKUP(4,S7:Z10,2,FALSE)</f>
        <v>Ryssland</v>
      </c>
      <c r="L7" s="52">
        <f>VLOOKUP(4,S7:Z10,3,FALSE)</f>
        <v>0</v>
      </c>
      <c r="M7" s="52">
        <f>VLOOKUP(4,S7:Z10,4,FALSE)</f>
        <v>0</v>
      </c>
      <c r="N7" s="52">
        <f>VLOOKUP(4,S7:Z10,5,FALSE)</f>
        <v>0</v>
      </c>
      <c r="O7" s="52" t="str">
        <f>CONCATENATE(VLOOKUP(4,S7:Z10,6,FALSE)," - ",VLOOKUP(4,S7:Z10,7,FALSE))</f>
        <v>0 - 0</v>
      </c>
      <c r="P7" s="53">
        <f>VLOOKUP(4,S7:Z10,8,FALSE)</f>
        <v>0</v>
      </c>
      <c r="R7" s="84">
        <f ca="1">DATE(2012,6,8) + TIME(5,0,0) + GMT</f>
        <v>41068.75</v>
      </c>
      <c r="S7" s="84">
        <f>IF(AB7&gt;AB7,1,0)+IF(AB7&gt;AB8,1,0)+IF(AB7&gt;AB9,1,0)+IF(AB7&gt;AB10,1,0)+1</f>
        <v>1</v>
      </c>
      <c r="T7" s="84" t="str">
        <f ca="1">INDEX(T,12,language)</f>
        <v>Polen</v>
      </c>
      <c r="U7" s="84">
        <f>COUNTIF(AW7:AX30,CONCATENATE(T7,"_win"))</f>
        <v>0</v>
      </c>
      <c r="V7" s="84">
        <f>COUNTIF(AW7:AX30,CONCATENATE(T7,"_draw"))</f>
        <v>0</v>
      </c>
      <c r="W7" s="84">
        <f>COUNTIF(AW7:AX30,CONCATENATE(T7,"_lose"))</f>
        <v>0</v>
      </c>
      <c r="X7" s="84">
        <f>SUMIF(AS7:AS30,CONCATENATE("=",T7),AT7:AT30)+SUMIF(AO7:AO30,CONCATENATE("=",T7),AP7:AP30)</f>
        <v>0</v>
      </c>
      <c r="Y7" s="84">
        <f>SUMIF(AU7:AU30,CONCATENATE("=",T7),AV7:AV30)+SUMIF(AQ7:AQ30,CONCATENATE("=",T7),AR7:AR30)</f>
        <v>0</v>
      </c>
      <c r="Z7" s="84">
        <f>U7*3+V7</f>
        <v>0</v>
      </c>
      <c r="AA7" s="84">
        <f>X7-Y7</f>
        <v>0</v>
      </c>
      <c r="AB7" s="92">
        <f ca="1">VLOOKUP(T7,team_rnk,2,FALSE)/5000/1000 + Z7/Z11*1000+AL7*100+AA7/AA11*10+X7/X11</f>
        <v>3.8332000000000001E-3</v>
      </c>
      <c r="AC7" s="84">
        <f>IF(COUNTIF(Z7:Z10,Z7)&gt;1,Z7,0)</f>
        <v>0</v>
      </c>
      <c r="AD7" s="84">
        <v>0</v>
      </c>
      <c r="AE7" s="84" t="str">
        <f ca="1">IF(SUM(U7:W10)=12,VLOOKUP(4,S7:T10,2,FALSE),INDEX(T,32,language))</f>
        <v>Vinnare grupp A</v>
      </c>
      <c r="AF7" s="84">
        <f>IF(AC7=AC11,Z7,IF(AC8=AC11,Z8,IF(AC9=AC11,Z9,Z10)))</f>
        <v>0</v>
      </c>
      <c r="AG7" s="84">
        <f>IF(Z7=AF7,1,0)</f>
        <v>1</v>
      </c>
      <c r="AH7" s="84">
        <f>COUNTIF(AY7:AZ30,CONCATENATE(T7,"_win"))</f>
        <v>0</v>
      </c>
      <c r="AI7" s="84">
        <f>SUMIF(BE7:BE30,CONCATENATE("=",T7),BF7:BF30)+SUMIF(BA7:BA30,CONCATENATE("=",T7),BB7:BB30)</f>
        <v>0</v>
      </c>
      <c r="AJ7" s="84">
        <f>SUMIF(BG7:BG30,CONCATENATE("=",T7),BH7:BH30)+SUMIF(BC7:BC30,CONCATENATE("=",T7),BD7:BD30)</f>
        <v>0</v>
      </c>
      <c r="AK7" s="84">
        <f>300*AH7+(AI7-AJ7)*10+AI7</f>
        <v>0</v>
      </c>
      <c r="AL7" s="84">
        <f>IF(AK7&gt;0,AK7/AK11,0)</f>
        <v>0</v>
      </c>
      <c r="AN7" s="84">
        <f>IF(VLOOKUP(G7,$T$7:$AG$48,14,FALSE)&gt;0,1,0)+IF(VLOOKUP(D7,$T$7:$AG$48,14,FALSE)&gt;0,1,0)</f>
        <v>2</v>
      </c>
      <c r="AO7" s="84" t="str">
        <f t="shared" ref="AO7:AO30" si="0">D7</f>
        <v>Polen</v>
      </c>
      <c r="AP7" s="84">
        <f t="shared" ref="AP7:AP30" si="1">E7</f>
        <v>0</v>
      </c>
      <c r="AQ7" s="84" t="str">
        <f t="shared" ref="AQ7:AQ30" si="2">D7</f>
        <v>Polen</v>
      </c>
      <c r="AR7" s="84">
        <f t="shared" ref="AR7:AR30" si="3">F7</f>
        <v>0</v>
      </c>
      <c r="AS7" s="84" t="str">
        <f t="shared" ref="AS7:AS30" si="4">G7</f>
        <v>Grekland</v>
      </c>
      <c r="AT7" s="84">
        <f t="shared" ref="AT7:AT30" si="5">F7</f>
        <v>0</v>
      </c>
      <c r="AU7" s="84" t="str">
        <f t="shared" ref="AU7:AU30" si="6">G7</f>
        <v>Grekland</v>
      </c>
      <c r="AV7" s="84">
        <f t="shared" ref="AV7:AV30" si="7">E7</f>
        <v>0</v>
      </c>
      <c r="AW7" s="84" t="str">
        <f t="shared" ref="AW7:AW30" si="8">IF(E7="","",IF(F7="","",IF(E7&gt;F7,CONCATENATE(D7,"_win"),IF(E7&lt;F7,CONCATENATE(D7,"_lose"),CONCATENATE(D7,"_draw")))))</f>
        <v/>
      </c>
      <c r="AX7" s="84" t="str">
        <f t="shared" ref="AX7:AX30" si="9">IF(E7="","",IF(F7="","",IF(E7&gt;F7,CONCATENATE(G7,"_lose"),IF(E7&lt;F7,CONCATENATE(G7,"_win"),CONCATENATE(G7,"_draw")))))</f>
        <v/>
      </c>
      <c r="AY7" s="84" t="str">
        <f t="shared" ref="AY7:AY30" si="10">IF(AN7=2,IF(E7="","",IF(F7="","",IF(E7&gt;F7,CONCATENATE(D7,"_win"),IF(E7&lt;F7,CONCATENATE(D7,"_lose"),CONCATENATE(D7,"_draw"))))),"")</f>
        <v/>
      </c>
      <c r="AZ7" s="84" t="str">
        <f t="shared" ref="AZ7:AZ30" si="11">IF(AN7=2,IF(E7="","",IF(F7="","",IF(E7&gt;F7,CONCATENATE(G7,"_lose"),IF(E7&lt;F7,CONCATENATE(G7,"_win"),CONCATENATE(G7,"_draw"))))),"")</f>
        <v/>
      </c>
      <c r="BA7" s="84" t="str">
        <f t="shared" ref="BA7:BA30" si="12">IF(AN7=2,AO7,"")</f>
        <v>Polen</v>
      </c>
      <c r="BB7" s="84">
        <f t="shared" ref="BB7:BB30" si="13">IF(AN7=2,AP7,"")</f>
        <v>0</v>
      </c>
      <c r="BC7" s="84" t="str">
        <f t="shared" ref="BC7:BC30" si="14">IF(AN7=2,AQ7,"")</f>
        <v>Polen</v>
      </c>
      <c r="BD7" s="84">
        <f t="shared" ref="BD7:BD30" si="15">IF(AN7=2,AR7,"")</f>
        <v>0</v>
      </c>
      <c r="BE7" s="84" t="str">
        <f t="shared" ref="BE7:BE30" si="16">IF(AN7=2,AS7,"")</f>
        <v>Grekland</v>
      </c>
      <c r="BF7" s="84">
        <f t="shared" ref="BF7:BF30" si="17">IF(AN7=2,AT7,"")</f>
        <v>0</v>
      </c>
      <c r="BG7" s="84" t="str">
        <f t="shared" ref="BG7:BG30" si="18">IF(AN7=2,AU7,"")</f>
        <v>Grekland</v>
      </c>
      <c r="BH7" s="84">
        <f t="shared" ref="BH7:BH30" si="19">IF(AN7=2,AV7,"")</f>
        <v>0</v>
      </c>
    </row>
    <row r="8" spans="1:60" ht="13.5" customHeight="1">
      <c r="A8" s="54" t="str">
        <f t="shared" ref="A8:A30" ca="1" si="20">DAY(R8) &amp; " " &amp; INDEX(T,47+MONTH(R8),language)</f>
        <v>8 jun</v>
      </c>
      <c r="B8" s="55" t="str">
        <f t="shared" ref="B8:B30" si="21">TEXT(HOUR(R8),"00")&amp;":"&amp;TEXT(MINUTE(R8),"00")</f>
        <v>20:45</v>
      </c>
      <c r="C8" s="56" t="s">
        <v>1683</v>
      </c>
      <c r="D8" s="57" t="str">
        <f>T9</f>
        <v>Ryssland</v>
      </c>
      <c r="E8" s="77"/>
      <c r="F8" s="77"/>
      <c r="G8" s="58" t="str">
        <f>T10</f>
        <v>Tjeckien</v>
      </c>
      <c r="H8" s="119" t="str">
        <f>$K$5</f>
        <v>Grupp A</v>
      </c>
      <c r="I8" s="120"/>
      <c r="K8" s="59" t="str">
        <f>VLOOKUP(3,S7:Z10,2,FALSE)</f>
        <v>Grekland</v>
      </c>
      <c r="L8" s="60">
        <f>VLOOKUP(3,S7:Z10,3,FALSE)</f>
        <v>0</v>
      </c>
      <c r="M8" s="60">
        <f>VLOOKUP(3,S7:Z10,4,FALSE)</f>
        <v>0</v>
      </c>
      <c r="N8" s="60">
        <f>VLOOKUP(3,S7:Z10,5,FALSE)</f>
        <v>0</v>
      </c>
      <c r="O8" s="60" t="str">
        <f>CONCATENATE(VLOOKUP(3,S7:Z10,6,FALSE)," - ",VLOOKUP(3,S7:Z10,7,FALSE))</f>
        <v>0 - 0</v>
      </c>
      <c r="P8" s="61">
        <f>VLOOKUP(3,S7:Z10,8,FALSE)</f>
        <v>0</v>
      </c>
      <c r="R8" s="84">
        <f ca="1">DATE(2012,6,8) + TIME(7,45,0) + GMT</f>
        <v>41068.864583333328</v>
      </c>
      <c r="S8" s="84">
        <f>IF(AB8&gt;AB7,1,0)+IF(AB8&gt;AB8,1,0)+IF(AB8&gt;AB9,1,0)+IF(AB8&gt;AB10,1,0)+1</f>
        <v>3</v>
      </c>
      <c r="T8" s="84" t="str">
        <f ca="1">INDEX(T,9,language)</f>
        <v>Grekland</v>
      </c>
      <c r="U8" s="84">
        <f>COUNTIF(AW7:AX30,CONCATENATE(T8,"_win"))</f>
        <v>0</v>
      </c>
      <c r="V8" s="84">
        <f>COUNTIF(AW7:AX30,CONCATENATE(T8,"_draw"))</f>
        <v>0</v>
      </c>
      <c r="W8" s="84">
        <f>COUNTIF(AW7:AX30,CONCATENATE(T8,"_lose"))</f>
        <v>0</v>
      </c>
      <c r="X8" s="84">
        <f>SUMIF(AS7:AS30,CONCATENATE("=",T8),AT7:AT30)+SUMIF(AO7:AO30,CONCATENATE("=",T8),AP7:AP30)</f>
        <v>0</v>
      </c>
      <c r="Y8" s="84">
        <f>SUMIF(AU7:AU30,CONCATENATE("=",T8),AV7:AV30)+SUMIF(AQ7:AQ30,CONCATENATE("=",T8),AR7:AR30)</f>
        <v>0</v>
      </c>
      <c r="Z8" s="84">
        <f>U8*3+V8</f>
        <v>0</v>
      </c>
      <c r="AA8" s="84">
        <f>X8-Y8</f>
        <v>0</v>
      </c>
      <c r="AB8" s="92">
        <f ca="1">VLOOKUP(T8,team_rnk,2,FALSE)/5000/1000 + Z8/Z11*1000+AL8*100+AA8/AA11*10+X8/X11</f>
        <v>7.1399999999999996E-3</v>
      </c>
      <c r="AC8" s="84">
        <f>IF(COUNTIF(Z7:Z10,Z8)&gt;1,Z8,0)</f>
        <v>0</v>
      </c>
      <c r="AD8" s="84">
        <v>0</v>
      </c>
      <c r="AE8" s="84" t="str">
        <f ca="1">IF(SUM(U7:W10)=12,VLOOKUP(3,S7:T10,2,FALSE),INDEX(T,33,language))</f>
        <v>Tvåa grupp A</v>
      </c>
      <c r="AG8" s="84">
        <f>IF(Z8=AF7,1,0)</f>
        <v>1</v>
      </c>
      <c r="AH8" s="84">
        <f>COUNTIF(AY7:AZ30,CONCATENATE(T8,"_win"))</f>
        <v>0</v>
      </c>
      <c r="AI8" s="84">
        <f>SUMIF(BE7:BE30,CONCATENATE("=",T8),BF7:BF30)+SUMIF(BA7:BA30,CONCATENATE("=",T8),BB7:BB30)</f>
        <v>0</v>
      </c>
      <c r="AJ8" s="84">
        <f>SUMIF(BG7:BG30,CONCATENATE("=",T8),BH7:BH30)+SUMIF(BC7:BC30,CONCATENATE("=",T8),BD7:BD30)</f>
        <v>0</v>
      </c>
      <c r="AK8" s="84">
        <f>300*AH8+(AI8-AJ8)*10+AI8</f>
        <v>0</v>
      </c>
      <c r="AL8" s="84">
        <f>IF(AK8&gt;0,AK8/AK11,0)</f>
        <v>0</v>
      </c>
      <c r="AN8" s="84">
        <f t="shared" ref="AN8:AN30" si="22">IF(VLOOKUP(G8,$T$7:$AG$48,14,FALSE)&gt;0,1,0)+IF(VLOOKUP(D8,$T$7:$AG$48,14,FALSE)&gt;0,1,0)</f>
        <v>2</v>
      </c>
      <c r="AO8" s="84" t="str">
        <f t="shared" si="0"/>
        <v>Ryssland</v>
      </c>
      <c r="AP8" s="84">
        <f t="shared" si="1"/>
        <v>0</v>
      </c>
      <c r="AQ8" s="84" t="str">
        <f t="shared" si="2"/>
        <v>Ryssland</v>
      </c>
      <c r="AR8" s="84">
        <f t="shared" si="3"/>
        <v>0</v>
      </c>
      <c r="AS8" s="84" t="str">
        <f t="shared" si="4"/>
        <v>Tjeckien</v>
      </c>
      <c r="AT8" s="84">
        <f t="shared" si="5"/>
        <v>0</v>
      </c>
      <c r="AU8" s="84" t="str">
        <f t="shared" si="6"/>
        <v>Tjeckien</v>
      </c>
      <c r="AV8" s="84">
        <f t="shared" si="7"/>
        <v>0</v>
      </c>
      <c r="AW8" s="84" t="str">
        <f t="shared" si="8"/>
        <v/>
      </c>
      <c r="AX8" s="84" t="str">
        <f t="shared" si="9"/>
        <v/>
      </c>
      <c r="AY8" s="84" t="str">
        <f t="shared" si="10"/>
        <v/>
      </c>
      <c r="AZ8" s="84" t="str">
        <f t="shared" si="11"/>
        <v/>
      </c>
      <c r="BA8" s="84" t="str">
        <f t="shared" si="12"/>
        <v>Ryssland</v>
      </c>
      <c r="BB8" s="84">
        <f t="shared" si="13"/>
        <v>0</v>
      </c>
      <c r="BC8" s="84" t="str">
        <f t="shared" si="14"/>
        <v>Ryssland</v>
      </c>
      <c r="BD8" s="84">
        <f t="shared" si="15"/>
        <v>0</v>
      </c>
      <c r="BE8" s="84" t="str">
        <f t="shared" si="16"/>
        <v>Tjeckien</v>
      </c>
      <c r="BF8" s="84">
        <f t="shared" si="17"/>
        <v>0</v>
      </c>
      <c r="BG8" s="84" t="str">
        <f t="shared" si="18"/>
        <v>Tjeckien</v>
      </c>
      <c r="BH8" s="84">
        <f t="shared" si="19"/>
        <v>0</v>
      </c>
    </row>
    <row r="9" spans="1:60" ht="13.5" customHeight="1">
      <c r="A9" s="54" t="str">
        <f t="shared" ca="1" si="20"/>
        <v>9 jun</v>
      </c>
      <c r="B9" s="55" t="str">
        <f t="shared" si="21"/>
        <v>18:00</v>
      </c>
      <c r="C9" s="56" t="s">
        <v>1684</v>
      </c>
      <c r="D9" s="57" t="str">
        <f>T14</f>
        <v>Nederländerna</v>
      </c>
      <c r="E9" s="77"/>
      <c r="F9" s="77"/>
      <c r="G9" s="58" t="str">
        <f>T15</f>
        <v>Danmark</v>
      </c>
      <c r="H9" s="119" t="str">
        <f>$K$12</f>
        <v>Grupp B</v>
      </c>
      <c r="I9" s="120"/>
      <c r="K9" s="59" t="str">
        <f>VLOOKUP(2,S7:Z10,2,FALSE)</f>
        <v>Tjeckien</v>
      </c>
      <c r="L9" s="60">
        <f>VLOOKUP(2,S7:Z10,3,FALSE)</f>
        <v>0</v>
      </c>
      <c r="M9" s="60">
        <f>VLOOKUP(2,S7:Z10,4,FALSE)</f>
        <v>0</v>
      </c>
      <c r="N9" s="60">
        <f>VLOOKUP(2,S7:Z10,5,FALSE)</f>
        <v>0</v>
      </c>
      <c r="O9" s="60" t="str">
        <f>CONCATENATE(VLOOKUP(2,S7:Z10,6,FALSE)," - ",VLOOKUP(2,S7:Z10,7,FALSE))</f>
        <v>0 - 0</v>
      </c>
      <c r="P9" s="61">
        <f>VLOOKUP(2,S7:Z10,8,FALSE)</f>
        <v>0</v>
      </c>
      <c r="R9" s="84">
        <f ca="1">DATE(2012,6,9) + TIME(5,0,0) + GMT</f>
        <v>41069.75</v>
      </c>
      <c r="S9" s="84">
        <f>IF(AB9&gt;AB7,1,0)+IF(AB9&gt;AB8,1,0)+IF(AB9&gt;AB9,1,0)+IF(AB9&gt;AB10,1,0)+1</f>
        <v>4</v>
      </c>
      <c r="T9" s="84" t="str">
        <f ca="1">INDEX(T,15,language)</f>
        <v>Ryssland</v>
      </c>
      <c r="U9" s="84">
        <f>COUNTIF(AW7:AX30,CONCATENATE(T9,"_win"))</f>
        <v>0</v>
      </c>
      <c r="V9" s="84">
        <f>COUNTIF(AW7:AX30,CONCATENATE(T9,"_draw"))</f>
        <v>0</v>
      </c>
      <c r="W9" s="84">
        <f>COUNTIF(AW7:AX30,CONCATENATE(T9,"_lose"))</f>
        <v>0</v>
      </c>
      <c r="X9" s="84">
        <f>SUMIF(AS7:AS30,CONCATENATE("=",T9),AT7:AT30)+SUMIF(AO7:AO30,CONCATENATE("=",T9),AP7:AP30)</f>
        <v>0</v>
      </c>
      <c r="Y9" s="84">
        <f>SUMIF(AU7:AU30,CONCATENATE("=",T9),AV7:AV30)+SUMIF(AQ7:AQ30,CONCATENATE("=",T9),AR7:AR30)</f>
        <v>0</v>
      </c>
      <c r="Z9" s="84">
        <f>U9*3+V9</f>
        <v>0</v>
      </c>
      <c r="AA9" s="84">
        <f>X9-Y9</f>
        <v>0</v>
      </c>
      <c r="AB9" s="92">
        <f ca="1">VLOOKUP(T9,team_rnk,2,FALSE)/5000/1000 + Z9/Z11*1000+AL9*100+AA9/AA11*10+X9/X11</f>
        <v>9.3995999999999993E-3</v>
      </c>
      <c r="AC9" s="84">
        <f>IF(COUNTIF(Z7:Z10,Z9)&gt;1,Z9,0)</f>
        <v>0</v>
      </c>
      <c r="AD9" s="84">
        <v>0</v>
      </c>
      <c r="AG9" s="84">
        <f>IF(Z9=AF7,1,0)</f>
        <v>1</v>
      </c>
      <c r="AH9" s="84">
        <f>COUNTIF(AY7:AZ30,CONCATENATE(T9,"_win"))</f>
        <v>0</v>
      </c>
      <c r="AI9" s="84">
        <f>SUMIF(BE7:BE30,CONCATENATE("=",T9),BF7:BF30)+SUMIF(BA7:BA30,CONCATENATE("=",T9),BB7:BB30)</f>
        <v>0</v>
      </c>
      <c r="AJ9" s="84">
        <f>SUMIF(BG7:BG30,CONCATENATE("=",T9),BH7:BH30)+SUMIF(BC7:BC30,CONCATENATE("=",T9),BD7:BD30)</f>
        <v>0</v>
      </c>
      <c r="AK9" s="84">
        <f>300*AH9+(AI9-AJ9)*10+AI9</f>
        <v>0</v>
      </c>
      <c r="AL9" s="84">
        <f>IF(AK9&gt;0,AK9/AK11,0)</f>
        <v>0</v>
      </c>
      <c r="AN9" s="84">
        <f t="shared" si="22"/>
        <v>2</v>
      </c>
      <c r="AO9" s="84" t="str">
        <f t="shared" si="0"/>
        <v>Nederländerna</v>
      </c>
      <c r="AP9" s="84">
        <f t="shared" si="1"/>
        <v>0</v>
      </c>
      <c r="AQ9" s="84" t="str">
        <f t="shared" si="2"/>
        <v>Nederländerna</v>
      </c>
      <c r="AR9" s="84">
        <f t="shared" si="3"/>
        <v>0</v>
      </c>
      <c r="AS9" s="84" t="str">
        <f t="shared" si="4"/>
        <v>Danmark</v>
      </c>
      <c r="AT9" s="84">
        <f t="shared" si="5"/>
        <v>0</v>
      </c>
      <c r="AU9" s="84" t="str">
        <f t="shared" si="6"/>
        <v>Danmark</v>
      </c>
      <c r="AV9" s="84">
        <f t="shared" si="7"/>
        <v>0</v>
      </c>
      <c r="AW9" s="84" t="str">
        <f t="shared" si="8"/>
        <v/>
      </c>
      <c r="AX9" s="84" t="str">
        <f t="shared" si="9"/>
        <v/>
      </c>
      <c r="AY9" s="84" t="str">
        <f t="shared" si="10"/>
        <v/>
      </c>
      <c r="AZ9" s="84" t="str">
        <f t="shared" si="11"/>
        <v/>
      </c>
      <c r="BA9" s="84" t="str">
        <f t="shared" si="12"/>
        <v>Nederländerna</v>
      </c>
      <c r="BB9" s="84">
        <f t="shared" si="13"/>
        <v>0</v>
      </c>
      <c r="BC9" s="84" t="str">
        <f t="shared" si="14"/>
        <v>Nederländerna</v>
      </c>
      <c r="BD9" s="84">
        <f t="shared" si="15"/>
        <v>0</v>
      </c>
      <c r="BE9" s="84" t="str">
        <f t="shared" si="16"/>
        <v>Danmark</v>
      </c>
      <c r="BF9" s="84">
        <f t="shared" si="17"/>
        <v>0</v>
      </c>
      <c r="BG9" s="84" t="str">
        <f t="shared" si="18"/>
        <v>Danmark</v>
      </c>
      <c r="BH9" s="84">
        <f t="shared" si="19"/>
        <v>0</v>
      </c>
    </row>
    <row r="10" spans="1:60" ht="13.5" customHeight="1">
      <c r="A10" s="54" t="str">
        <f t="shared" ca="1" si="20"/>
        <v>9 jun</v>
      </c>
      <c r="B10" s="55" t="str">
        <f t="shared" si="21"/>
        <v>20:45</v>
      </c>
      <c r="C10" s="56" t="s">
        <v>1685</v>
      </c>
      <c r="D10" s="57" t="str">
        <f>T16</f>
        <v>Tyskland</v>
      </c>
      <c r="E10" s="77"/>
      <c r="F10" s="77"/>
      <c r="G10" s="58" t="str">
        <f>T17</f>
        <v>Portugal</v>
      </c>
      <c r="H10" s="119" t="str">
        <f>$K$12</f>
        <v>Grupp B</v>
      </c>
      <c r="I10" s="120"/>
      <c r="K10" s="62" t="str">
        <f>VLOOKUP(1,S7:Z10,2,FALSE)</f>
        <v>Polen</v>
      </c>
      <c r="L10" s="63">
        <f>VLOOKUP(1,S7:Z10,3,FALSE)</f>
        <v>0</v>
      </c>
      <c r="M10" s="63">
        <f>VLOOKUP(1,S7:Z10,4,FALSE)</f>
        <v>0</v>
      </c>
      <c r="N10" s="63">
        <f>VLOOKUP(1,S7:Z10,5,FALSE)</f>
        <v>0</v>
      </c>
      <c r="O10" s="63" t="str">
        <f>CONCATENATE(VLOOKUP(1,S7:Z10,6,FALSE)," - ",VLOOKUP(1,S7:Z10,7,FALSE))</f>
        <v>0 - 0</v>
      </c>
      <c r="P10" s="64">
        <f>VLOOKUP(1,S7:Z10,8,FALSE)</f>
        <v>0</v>
      </c>
      <c r="R10" s="84">
        <f ca="1">DATE(2012,6,9) + TIME(7,45,0)+GMT</f>
        <v>41069.864583333328</v>
      </c>
      <c r="S10" s="84">
        <f>IF(AB10&gt;AB7,1,0)+IF(AB10&gt;AB8,1,0)+IF(AB10&gt;AB9,1,0)+IF(AB10&gt;AB10,1,0)+1</f>
        <v>2</v>
      </c>
      <c r="T10" s="84" t="str">
        <f ca="1">INDEX(T,4,language)</f>
        <v>Tjeckien</v>
      </c>
      <c r="U10" s="84">
        <f>COUNTIF(AW7:AX30,CONCATENATE(T10,"_win"))</f>
        <v>0</v>
      </c>
      <c r="V10" s="84">
        <f>COUNTIF(AW7:AX30,CONCATENATE(T10,"_draw"))</f>
        <v>0</v>
      </c>
      <c r="W10" s="84">
        <f>COUNTIF(AW7:AX30,CONCATENATE(T10,"_lose"))</f>
        <v>0</v>
      </c>
      <c r="X10" s="84">
        <f>SUMIF(AS7:AS30,CONCATENATE("=",T10),AT7:AT30)+SUMIF(AO7:AO30,CONCATENATE("=",T10),AP7:AP30)</f>
        <v>0</v>
      </c>
      <c r="Y10" s="84">
        <f>SUMIF(AU7:AU30,CONCATENATE("=",T10),AV7:AV30)+SUMIF(AQ7:AQ30,CONCATENATE("=",T10),AR7:AR30)</f>
        <v>0</v>
      </c>
      <c r="Z10" s="84">
        <f>U10*3+V10</f>
        <v>0</v>
      </c>
      <c r="AA10" s="84">
        <f>X10-Y10</f>
        <v>0</v>
      </c>
      <c r="AB10" s="92">
        <f ca="1">VLOOKUP(T10,team_rnk,2,FALSE)/5000/1000 + Z10/Z11*1000+AL10*100+AA10/AA11*10+X10/X11</f>
        <v>4.0199999999999993E-3</v>
      </c>
      <c r="AC10" s="84">
        <f>IF(COUNTIF(Z7:Z10,Z10)&gt;1,Z10,0)</f>
        <v>0</v>
      </c>
      <c r="AD10" s="84">
        <v>0</v>
      </c>
      <c r="AG10" s="84">
        <f>IF(Z10=AF7,1,0)</f>
        <v>1</v>
      </c>
      <c r="AH10" s="84">
        <f>COUNTIF(AY7:AZ30,CONCATENATE(T10,"_win"))</f>
        <v>0</v>
      </c>
      <c r="AI10" s="84">
        <f>SUMIF(BE7:BE30,CONCATENATE("=",T10),BF7:BF30)+SUMIF(BA7:BA30,CONCATENATE("=",T10),BB7:BB30)</f>
        <v>0</v>
      </c>
      <c r="AJ10" s="84">
        <f>SUMIF(BG7:BG30,CONCATENATE("=",T10),BH7:BH30)+SUMIF(BC7:BC30,CONCATENATE("=",T10),BD7:BD30)</f>
        <v>0</v>
      </c>
      <c r="AK10" s="84">
        <f>300*AH10+(AI10-AJ10)*10+AI10</f>
        <v>0</v>
      </c>
      <c r="AL10" s="84">
        <f>IF(AK10&gt;0,AK10/AK11,0)</f>
        <v>0</v>
      </c>
      <c r="AN10" s="84">
        <f t="shared" si="22"/>
        <v>2</v>
      </c>
      <c r="AO10" s="84" t="str">
        <f t="shared" si="0"/>
        <v>Tyskland</v>
      </c>
      <c r="AP10" s="84">
        <f t="shared" si="1"/>
        <v>0</v>
      </c>
      <c r="AQ10" s="84" t="str">
        <f t="shared" si="2"/>
        <v>Tyskland</v>
      </c>
      <c r="AR10" s="84">
        <f t="shared" si="3"/>
        <v>0</v>
      </c>
      <c r="AS10" s="84" t="str">
        <f t="shared" si="4"/>
        <v>Portugal</v>
      </c>
      <c r="AT10" s="84">
        <f t="shared" si="5"/>
        <v>0</v>
      </c>
      <c r="AU10" s="84" t="str">
        <f t="shared" si="6"/>
        <v>Portugal</v>
      </c>
      <c r="AV10" s="84">
        <f t="shared" si="7"/>
        <v>0</v>
      </c>
      <c r="AW10" s="84" t="str">
        <f t="shared" si="8"/>
        <v/>
      </c>
      <c r="AX10" s="84" t="str">
        <f t="shared" si="9"/>
        <v/>
      </c>
      <c r="AY10" s="84" t="str">
        <f t="shared" si="10"/>
        <v/>
      </c>
      <c r="AZ10" s="84" t="str">
        <f t="shared" si="11"/>
        <v/>
      </c>
      <c r="BA10" s="84" t="str">
        <f t="shared" si="12"/>
        <v>Tyskland</v>
      </c>
      <c r="BB10" s="84">
        <f t="shared" si="13"/>
        <v>0</v>
      </c>
      <c r="BC10" s="84" t="str">
        <f t="shared" si="14"/>
        <v>Tyskland</v>
      </c>
      <c r="BD10" s="84">
        <f t="shared" si="15"/>
        <v>0</v>
      </c>
      <c r="BE10" s="84" t="str">
        <f t="shared" si="16"/>
        <v>Portugal</v>
      </c>
      <c r="BF10" s="84">
        <f t="shared" si="17"/>
        <v>0</v>
      </c>
      <c r="BG10" s="84" t="str">
        <f t="shared" si="18"/>
        <v>Portugal</v>
      </c>
      <c r="BH10" s="84">
        <f t="shared" si="19"/>
        <v>0</v>
      </c>
    </row>
    <row r="11" spans="1:60" ht="13.5" customHeight="1">
      <c r="A11" s="54" t="str">
        <f t="shared" ca="1" si="20"/>
        <v>10 jun</v>
      </c>
      <c r="B11" s="55" t="str">
        <f t="shared" si="21"/>
        <v>18:00</v>
      </c>
      <c r="C11" s="56" t="s">
        <v>1686</v>
      </c>
      <c r="D11" s="57" t="str">
        <f>T21</f>
        <v>Spanien</v>
      </c>
      <c r="E11" s="77"/>
      <c r="F11" s="77"/>
      <c r="G11" s="58" t="str">
        <f>T22</f>
        <v>Italien</v>
      </c>
      <c r="H11" s="119" t="str">
        <f>$K$19</f>
        <v>Grupp C</v>
      </c>
      <c r="I11" s="120"/>
      <c r="K11" s="65"/>
      <c r="R11" s="84">
        <f ca="1">DATE(2012,6,10) + TIME(5,0,0) + GMT</f>
        <v>41070.75</v>
      </c>
      <c r="X11" s="84">
        <f>1+MAX(X7:X10)</f>
        <v>1</v>
      </c>
      <c r="Z11" s="84">
        <f>1+MAX(Z7:Z10)</f>
        <v>1</v>
      </c>
      <c r="AA11" s="84">
        <f>1+MAX(AA7:AA10)-MIN(AA7:AA10)</f>
        <v>1</v>
      </c>
      <c r="AB11" s="92"/>
      <c r="AC11" s="84">
        <f>MAX(AC7:AC10)</f>
        <v>0</v>
      </c>
      <c r="AK11" s="84">
        <f>1+MAX(AK7:AK10)</f>
        <v>1</v>
      </c>
      <c r="AN11" s="84">
        <f t="shared" si="22"/>
        <v>2</v>
      </c>
      <c r="AO11" s="84" t="str">
        <f t="shared" si="0"/>
        <v>Spanien</v>
      </c>
      <c r="AP11" s="84">
        <f t="shared" si="1"/>
        <v>0</v>
      </c>
      <c r="AQ11" s="84" t="str">
        <f t="shared" si="2"/>
        <v>Spanien</v>
      </c>
      <c r="AR11" s="84">
        <f t="shared" si="3"/>
        <v>0</v>
      </c>
      <c r="AS11" s="84" t="str">
        <f t="shared" si="4"/>
        <v>Italien</v>
      </c>
      <c r="AT11" s="84">
        <f t="shared" si="5"/>
        <v>0</v>
      </c>
      <c r="AU11" s="84" t="str">
        <f t="shared" si="6"/>
        <v>Italien</v>
      </c>
      <c r="AV11" s="84">
        <f t="shared" si="7"/>
        <v>0</v>
      </c>
      <c r="AW11" s="84" t="str">
        <f t="shared" si="8"/>
        <v/>
      </c>
      <c r="AX11" s="84" t="str">
        <f t="shared" si="9"/>
        <v/>
      </c>
      <c r="AY11" s="84" t="str">
        <f t="shared" si="10"/>
        <v/>
      </c>
      <c r="AZ11" s="84" t="str">
        <f t="shared" si="11"/>
        <v/>
      </c>
      <c r="BA11" s="84" t="str">
        <f t="shared" si="12"/>
        <v>Spanien</v>
      </c>
      <c r="BB11" s="84">
        <f t="shared" si="13"/>
        <v>0</v>
      </c>
      <c r="BC11" s="84" t="str">
        <f t="shared" si="14"/>
        <v>Spanien</v>
      </c>
      <c r="BD11" s="84">
        <f t="shared" si="15"/>
        <v>0</v>
      </c>
      <c r="BE11" s="84" t="str">
        <f t="shared" si="16"/>
        <v>Italien</v>
      </c>
      <c r="BF11" s="84">
        <f t="shared" si="17"/>
        <v>0</v>
      </c>
      <c r="BG11" s="84" t="str">
        <f t="shared" si="18"/>
        <v>Italien</v>
      </c>
      <c r="BH11" s="84">
        <f t="shared" si="19"/>
        <v>0</v>
      </c>
    </row>
    <row r="12" spans="1:60" ht="13.5" customHeight="1">
      <c r="A12" s="54" t="str">
        <f t="shared" ca="1" si="20"/>
        <v>10 jun</v>
      </c>
      <c r="B12" s="55" t="str">
        <f t="shared" si="21"/>
        <v>20:45</v>
      </c>
      <c r="C12" s="56" t="s">
        <v>1687</v>
      </c>
      <c r="D12" s="57" t="str">
        <f>T23</f>
        <v>Irland</v>
      </c>
      <c r="E12" s="77"/>
      <c r="F12" s="77"/>
      <c r="G12" s="58" t="str">
        <f>T24</f>
        <v>Kroatien</v>
      </c>
      <c r="H12" s="119" t="str">
        <f>$K$19</f>
        <v>Grupp C</v>
      </c>
      <c r="I12" s="120"/>
      <c r="K12" s="104" t="str">
        <f ca="1">INDEX(T,24,language) &amp; " B"</f>
        <v>Grupp B</v>
      </c>
      <c r="L12" s="95" t="str">
        <f ca="1">INDEX(T,19,language)</f>
        <v>V</v>
      </c>
      <c r="M12" s="95" t="str">
        <f ca="1">INDEX(T,20,language)</f>
        <v>O</v>
      </c>
      <c r="N12" s="95" t="str">
        <f ca="1">INDEX(T,21,language)</f>
        <v>F</v>
      </c>
      <c r="O12" s="95" t="str">
        <f ca="1">INDEX(T,22,language)</f>
        <v>Målsk</v>
      </c>
      <c r="P12" s="93" t="str">
        <f ca="1">INDEX(T,23,language)</f>
        <v>P</v>
      </c>
      <c r="R12" s="84">
        <f ca="1">DATE(2012,6,10) + TIME(7,45,0) + GMT</f>
        <v>41070.864583333328</v>
      </c>
      <c r="AA12" s="84">
        <f>MIN(AA7:AA10)</f>
        <v>0</v>
      </c>
      <c r="AB12" s="92"/>
      <c r="AN12" s="84">
        <f t="shared" si="22"/>
        <v>2</v>
      </c>
      <c r="AO12" s="84" t="str">
        <f t="shared" si="0"/>
        <v>Irland</v>
      </c>
      <c r="AP12" s="84">
        <f t="shared" si="1"/>
        <v>0</v>
      </c>
      <c r="AQ12" s="84" t="str">
        <f t="shared" si="2"/>
        <v>Irland</v>
      </c>
      <c r="AR12" s="84">
        <f t="shared" si="3"/>
        <v>0</v>
      </c>
      <c r="AS12" s="84" t="str">
        <f t="shared" si="4"/>
        <v>Kroatien</v>
      </c>
      <c r="AT12" s="84">
        <f t="shared" si="5"/>
        <v>0</v>
      </c>
      <c r="AU12" s="84" t="str">
        <f t="shared" si="6"/>
        <v>Kroatien</v>
      </c>
      <c r="AV12" s="84">
        <f t="shared" si="7"/>
        <v>0</v>
      </c>
      <c r="AW12" s="84" t="str">
        <f t="shared" si="8"/>
        <v/>
      </c>
      <c r="AX12" s="84" t="str">
        <f t="shared" si="9"/>
        <v/>
      </c>
      <c r="AY12" s="84" t="str">
        <f t="shared" si="10"/>
        <v/>
      </c>
      <c r="AZ12" s="84" t="str">
        <f t="shared" si="11"/>
        <v/>
      </c>
      <c r="BA12" s="84" t="str">
        <f t="shared" si="12"/>
        <v>Irland</v>
      </c>
      <c r="BB12" s="84">
        <f t="shared" si="13"/>
        <v>0</v>
      </c>
      <c r="BC12" s="84" t="str">
        <f t="shared" si="14"/>
        <v>Irland</v>
      </c>
      <c r="BD12" s="84">
        <f t="shared" si="15"/>
        <v>0</v>
      </c>
      <c r="BE12" s="84" t="str">
        <f t="shared" si="16"/>
        <v>Kroatien</v>
      </c>
      <c r="BF12" s="84">
        <f t="shared" si="17"/>
        <v>0</v>
      </c>
      <c r="BG12" s="84" t="str">
        <f t="shared" si="18"/>
        <v>Kroatien</v>
      </c>
      <c r="BH12" s="84">
        <f t="shared" si="19"/>
        <v>0</v>
      </c>
    </row>
    <row r="13" spans="1:60" ht="13.5" customHeight="1">
      <c r="A13" s="54" t="str">
        <f t="shared" ca="1" si="20"/>
        <v>11 jun</v>
      </c>
      <c r="B13" s="55" t="str">
        <f t="shared" si="21"/>
        <v>18:00</v>
      </c>
      <c r="C13" s="56" t="s">
        <v>1688</v>
      </c>
      <c r="D13" s="57" t="str">
        <f>T29</f>
        <v>Frankrike</v>
      </c>
      <c r="E13" s="77"/>
      <c r="F13" s="77"/>
      <c r="G13" s="58" t="str">
        <f>T28</f>
        <v>England</v>
      </c>
      <c r="H13" s="119" t="str">
        <f>$K$26</f>
        <v>Grupp D</v>
      </c>
      <c r="I13" s="120"/>
      <c r="K13" s="110"/>
      <c r="L13" s="106"/>
      <c r="M13" s="106"/>
      <c r="N13" s="106"/>
      <c r="O13" s="106"/>
      <c r="P13" s="94"/>
      <c r="R13" s="84">
        <f ca="1">DATE(2012,6,11) + TIME(5,0,0) + GMT</f>
        <v>41071.75</v>
      </c>
      <c r="AB13" s="92"/>
      <c r="AN13" s="84">
        <f t="shared" si="22"/>
        <v>2</v>
      </c>
      <c r="AO13" s="84" t="str">
        <f t="shared" si="0"/>
        <v>Frankrike</v>
      </c>
      <c r="AP13" s="84">
        <f t="shared" si="1"/>
        <v>0</v>
      </c>
      <c r="AQ13" s="84" t="str">
        <f t="shared" si="2"/>
        <v>Frankrike</v>
      </c>
      <c r="AR13" s="84">
        <f t="shared" si="3"/>
        <v>0</v>
      </c>
      <c r="AS13" s="84" t="str">
        <f t="shared" si="4"/>
        <v>England</v>
      </c>
      <c r="AT13" s="84">
        <f t="shared" si="5"/>
        <v>0</v>
      </c>
      <c r="AU13" s="84" t="str">
        <f t="shared" si="6"/>
        <v>England</v>
      </c>
      <c r="AV13" s="84">
        <f t="shared" si="7"/>
        <v>0</v>
      </c>
      <c r="AW13" s="84" t="str">
        <f t="shared" si="8"/>
        <v/>
      </c>
      <c r="AX13" s="84" t="str">
        <f t="shared" si="9"/>
        <v/>
      </c>
      <c r="AY13" s="84" t="str">
        <f t="shared" si="10"/>
        <v/>
      </c>
      <c r="AZ13" s="84" t="str">
        <f t="shared" si="11"/>
        <v/>
      </c>
      <c r="BA13" s="84" t="str">
        <f t="shared" si="12"/>
        <v>Frankrike</v>
      </c>
      <c r="BB13" s="84">
        <f t="shared" si="13"/>
        <v>0</v>
      </c>
      <c r="BC13" s="84" t="str">
        <f t="shared" si="14"/>
        <v>Frankrike</v>
      </c>
      <c r="BD13" s="84">
        <f t="shared" si="15"/>
        <v>0</v>
      </c>
      <c r="BE13" s="84" t="str">
        <f t="shared" si="16"/>
        <v>England</v>
      </c>
      <c r="BF13" s="84">
        <f t="shared" si="17"/>
        <v>0</v>
      </c>
      <c r="BG13" s="84" t="str">
        <f t="shared" si="18"/>
        <v>England</v>
      </c>
      <c r="BH13" s="84">
        <f t="shared" si="19"/>
        <v>0</v>
      </c>
    </row>
    <row r="14" spans="1:60" ht="13.5" customHeight="1">
      <c r="A14" s="54" t="str">
        <f t="shared" ca="1" si="20"/>
        <v>11 jun</v>
      </c>
      <c r="B14" s="55" t="str">
        <f t="shared" si="21"/>
        <v>20:45</v>
      </c>
      <c r="C14" s="56" t="s">
        <v>1689</v>
      </c>
      <c r="D14" s="57" t="str">
        <f>T31</f>
        <v>Ukraina</v>
      </c>
      <c r="E14" s="77"/>
      <c r="F14" s="77"/>
      <c r="G14" s="58" t="str">
        <f>T30</f>
        <v>Sverige</v>
      </c>
      <c r="H14" s="119" t="str">
        <f>$K$26</f>
        <v>Grupp D</v>
      </c>
      <c r="I14" s="120"/>
      <c r="K14" s="51" t="str">
        <f>VLOOKUP(4,S14:Z17,2,FALSE)</f>
        <v>Tyskland</v>
      </c>
      <c r="L14" s="52">
        <f>VLOOKUP(4,S14:Z17,3,FALSE)</f>
        <v>0</v>
      </c>
      <c r="M14" s="52">
        <f>VLOOKUP(4,S14:Z17,4,FALSE)</f>
        <v>0</v>
      </c>
      <c r="N14" s="52">
        <f>VLOOKUP(4,S14:Z17,5,FALSE)</f>
        <v>0</v>
      </c>
      <c r="O14" s="52" t="str">
        <f>CONCATENATE(VLOOKUP(4,S14:Z17,6,FALSE)," - ",VLOOKUP(4,S14:Z17,7,FALSE))</f>
        <v>0 - 0</v>
      </c>
      <c r="P14" s="53">
        <f>VLOOKUP(4,S14:Z17,8,FALSE)</f>
        <v>0</v>
      </c>
      <c r="R14" s="84">
        <f ca="1">DATE(2012,6,11) + TIME(7,45,0) + GMT</f>
        <v>41071.864583333328</v>
      </c>
      <c r="S14" s="84">
        <f>IF(AB14&gt;AB14,1,0)+IF(AB14&gt;AB15,1,0)+IF(AB14&gt;AB16,1,0)+IF(AB14&gt;AB17,1,0)+1</f>
        <v>2</v>
      </c>
      <c r="T14" s="84" t="str">
        <f ca="1">INDEX(T,11,language)</f>
        <v>Nederländerna</v>
      </c>
      <c r="U14" s="84">
        <f>COUNTIF(AW7:AX30,CONCATENATE(T14,"_win"))</f>
        <v>0</v>
      </c>
      <c r="V14" s="84">
        <f>COUNTIF(AW7:AX30,CONCATENATE(T14,"_draw"))</f>
        <v>0</v>
      </c>
      <c r="W14" s="84">
        <f>COUNTIF(AW7:AX30,CONCATENATE(T14,"_lose"))</f>
        <v>0</v>
      </c>
      <c r="X14" s="84">
        <f>SUMIF(AS7:AS30,CONCATENATE("=",T14),AT7:AT30)+SUMIF(AO7:AO30,CONCATENATE("=",T14),AP7:AP30)</f>
        <v>0</v>
      </c>
      <c r="Y14" s="84">
        <f>SUMIF(AU7:AU30,CONCATENATE("=",T14),AV7:AV30)+SUMIF(AQ7:AQ30,CONCATENATE("=",T14),AR7:AR30)</f>
        <v>0</v>
      </c>
      <c r="Z14" s="84">
        <f>U14*3+V14</f>
        <v>0</v>
      </c>
      <c r="AA14" s="84">
        <f>X14-Y14</f>
        <v>0</v>
      </c>
      <c r="AB14" s="92">
        <f ca="1">VLOOKUP(T14,team_rnk,2,FALSE)/5000/1000 + Z14/Z18*1000+AL14*100+AA14/AA18*10+X14/X18</f>
        <v>8.2230000000000011E-3</v>
      </c>
      <c r="AC14" s="84">
        <f>IF(COUNTIF(Z14:Z17,Z14)&gt;1,Z14,0)</f>
        <v>0</v>
      </c>
      <c r="AD14" s="84">
        <v>0</v>
      </c>
      <c r="AE14" s="84" t="str">
        <f ca="1">IF(SUM(U14:W17)=12,VLOOKUP(4,S14:T17,2,FALSE),INDEX(T,34,language))</f>
        <v>Vinnare grupp B</v>
      </c>
      <c r="AF14" s="84">
        <f>IF(AC14=AC18,Z14,IF(AC15=AC18,Z15,IF(AC16=AC18,Z16,Z17)))</f>
        <v>0</v>
      </c>
      <c r="AG14" s="84">
        <f>IF(Z14=AF14,1,0)</f>
        <v>1</v>
      </c>
      <c r="AH14" s="84">
        <f>COUNTIF(AY7:AZ30,CONCATENATE(T14,"_win"))</f>
        <v>0</v>
      </c>
      <c r="AI14" s="84">
        <f>SUMIF(BE7:BE30,CONCATENATE("=",T14),BF7:BF30)+SUMIF(BA7:BA30,CONCATENATE("=",T14),BB7:BB30)</f>
        <v>0</v>
      </c>
      <c r="AJ14" s="84">
        <f>SUMIF(BG7:BG30,CONCATENATE("=",T14),BH7:BH30)+SUMIF(BC7:BC30,CONCATENATE("=",T14),BD7:BD30)</f>
        <v>0</v>
      </c>
      <c r="AK14" s="84">
        <f>300*AH14+(AI14-AJ14)*10+AI14</f>
        <v>0</v>
      </c>
      <c r="AL14" s="84">
        <f>IF(AK14&gt;0,AK14/AK18,0)</f>
        <v>0</v>
      </c>
      <c r="AN14" s="84">
        <f t="shared" si="22"/>
        <v>2</v>
      </c>
      <c r="AO14" s="84" t="str">
        <f t="shared" si="0"/>
        <v>Ukraina</v>
      </c>
      <c r="AP14" s="84">
        <f t="shared" si="1"/>
        <v>0</v>
      </c>
      <c r="AQ14" s="84" t="str">
        <f t="shared" si="2"/>
        <v>Ukraina</v>
      </c>
      <c r="AR14" s="84">
        <f t="shared" si="3"/>
        <v>0</v>
      </c>
      <c r="AS14" s="84" t="str">
        <f t="shared" si="4"/>
        <v>Sverige</v>
      </c>
      <c r="AT14" s="84">
        <f t="shared" si="5"/>
        <v>0</v>
      </c>
      <c r="AU14" s="84" t="str">
        <f t="shared" si="6"/>
        <v>Sverige</v>
      </c>
      <c r="AV14" s="84">
        <f t="shared" si="7"/>
        <v>0</v>
      </c>
      <c r="AW14" s="84" t="str">
        <f t="shared" si="8"/>
        <v/>
      </c>
      <c r="AX14" s="84" t="str">
        <f t="shared" si="9"/>
        <v/>
      </c>
      <c r="AY14" s="84" t="str">
        <f t="shared" si="10"/>
        <v/>
      </c>
      <c r="AZ14" s="84" t="str">
        <f t="shared" si="11"/>
        <v/>
      </c>
      <c r="BA14" s="84" t="str">
        <f t="shared" si="12"/>
        <v>Ukraina</v>
      </c>
      <c r="BB14" s="84">
        <f t="shared" si="13"/>
        <v>0</v>
      </c>
      <c r="BC14" s="84" t="str">
        <f t="shared" si="14"/>
        <v>Ukraina</v>
      </c>
      <c r="BD14" s="84">
        <f t="shared" si="15"/>
        <v>0</v>
      </c>
      <c r="BE14" s="84" t="str">
        <f t="shared" si="16"/>
        <v>Sverige</v>
      </c>
      <c r="BF14" s="84">
        <f t="shared" si="17"/>
        <v>0</v>
      </c>
      <c r="BG14" s="84" t="str">
        <f t="shared" si="18"/>
        <v>Sverige</v>
      </c>
      <c r="BH14" s="84">
        <f t="shared" si="19"/>
        <v>0</v>
      </c>
    </row>
    <row r="15" spans="1:60" ht="13.5" customHeight="1">
      <c r="A15" s="54" t="str">
        <f t="shared" ca="1" si="20"/>
        <v>12 jun</v>
      </c>
      <c r="B15" s="55" t="str">
        <f t="shared" si="21"/>
        <v>18:00</v>
      </c>
      <c r="C15" s="56" t="s">
        <v>1683</v>
      </c>
      <c r="D15" s="57" t="str">
        <f>T8</f>
        <v>Grekland</v>
      </c>
      <c r="E15" s="77"/>
      <c r="F15" s="77"/>
      <c r="G15" s="58" t="str">
        <f>T10</f>
        <v>Tjeckien</v>
      </c>
      <c r="H15" s="119" t="str">
        <f>$K$5</f>
        <v>Grupp A</v>
      </c>
      <c r="I15" s="120"/>
      <c r="K15" s="59" t="str">
        <f>VLOOKUP(3,S14:Z17,2,FALSE)</f>
        <v>Portugal</v>
      </c>
      <c r="L15" s="60">
        <f>VLOOKUP(3,S14:Z17,3,FALSE)</f>
        <v>0</v>
      </c>
      <c r="M15" s="60">
        <f>VLOOKUP(3,S14:Z17,4,FALSE)</f>
        <v>0</v>
      </c>
      <c r="N15" s="60">
        <f>VLOOKUP(3,S14:Z17,5,FALSE)</f>
        <v>0</v>
      </c>
      <c r="O15" s="60" t="str">
        <f>CONCATENATE(VLOOKUP(3,S14:Z17,6,FALSE)," - ",VLOOKUP(3,S14:Z17,7,FALSE))</f>
        <v>0 - 0</v>
      </c>
      <c r="P15" s="61">
        <f>VLOOKUP(3,S14:Z17,8,FALSE)</f>
        <v>0</v>
      </c>
      <c r="R15" s="84">
        <f ca="1">DATE(2012,6,12) + TIME(5,0,0) + GMT</f>
        <v>41072.75</v>
      </c>
      <c r="S15" s="84">
        <f>IF(AB15&gt;AB14,1,0)+IF(AB15&gt;AB15,1,0)+IF(AB15&gt;AB16,1,0)+IF(AB15&gt;AB17,1,0)+1</f>
        <v>1</v>
      </c>
      <c r="T15" s="84" t="str">
        <f ca="1">INDEX(T,5,language)</f>
        <v>Danmark</v>
      </c>
      <c r="U15" s="84">
        <f>COUNTIF(AW7:AX30,CONCATENATE(T15,"_win"))</f>
        <v>0</v>
      </c>
      <c r="V15" s="84">
        <f>COUNTIF(AW7:AX30,CONCATENATE(T15,"_draw"))</f>
        <v>0</v>
      </c>
      <c r="W15" s="84">
        <f>COUNTIF(AW7:AX30,CONCATENATE(T15,"_lose"))</f>
        <v>0</v>
      </c>
      <c r="X15" s="84">
        <f>SUMIF(AS7:AS30,CONCATENATE("=",T15),AT7:AT30)+SUMIF(AO7:AO30,CONCATENATE("=",T15),AP7:AP30)</f>
        <v>0</v>
      </c>
      <c r="Y15" s="84">
        <f>SUMIF(AU7:AU30,CONCATENATE("=",T15),AV7:AV30)+SUMIF(AQ7:AQ30,CONCATENATE("=",T15),AR7:AR30)</f>
        <v>0</v>
      </c>
      <c r="Z15" s="84">
        <f>U15*3+V15</f>
        <v>0</v>
      </c>
      <c r="AA15" s="84">
        <f>X15-Y15</f>
        <v>0</v>
      </c>
      <c r="AB15" s="92">
        <f ca="1">VLOOKUP(T15,team_rnk,2,FALSE)/5000/1000 + Z15/Z18*1000+AL15*100+AA15/AA18*10+X15/X18</f>
        <v>5.5049999999999995E-3</v>
      </c>
      <c r="AC15" s="84">
        <f>IF(COUNTIF(Z14:Z17,Z15)&gt;1,Z15,0)</f>
        <v>0</v>
      </c>
      <c r="AD15" s="84">
        <v>0</v>
      </c>
      <c r="AE15" s="84" t="str">
        <f ca="1">IF(SUM(U14:W17)=12,VLOOKUP(3,S14:T17,2,FALSE),INDEX(T,35,language))</f>
        <v>Tvåa grupp B</v>
      </c>
      <c r="AG15" s="84">
        <f>IF(Z15=AF14,1,0)</f>
        <v>1</v>
      </c>
      <c r="AH15" s="84">
        <f>COUNTIF(AY7:AZ30,CONCATENATE(T15,"_win"))</f>
        <v>0</v>
      </c>
      <c r="AI15" s="84">
        <f>SUMIF(BE7:BE30,CONCATENATE("=",T15),BF7:BF30)+SUMIF(BA7:BA30,CONCATENATE("=",T15),BB7:BB30)</f>
        <v>0</v>
      </c>
      <c r="AJ15" s="84">
        <f>SUMIF(BG7:BG30,CONCATENATE("=",T15),BH7:BH30)+SUMIF(BC7:BC30,CONCATENATE("=",T15),BD7:BD30)</f>
        <v>0</v>
      </c>
      <c r="AK15" s="84">
        <f>300*AH15+(AI15-AJ15)*10+AI15</f>
        <v>0</v>
      </c>
      <c r="AL15" s="84">
        <f>IF(AK15&gt;0,AK15/AK18,0)</f>
        <v>0</v>
      </c>
      <c r="AN15" s="84">
        <f t="shared" si="22"/>
        <v>2</v>
      </c>
      <c r="AO15" s="84" t="str">
        <f t="shared" si="0"/>
        <v>Grekland</v>
      </c>
      <c r="AP15" s="84">
        <f t="shared" si="1"/>
        <v>0</v>
      </c>
      <c r="AQ15" s="84" t="str">
        <f t="shared" si="2"/>
        <v>Grekland</v>
      </c>
      <c r="AR15" s="84">
        <f t="shared" si="3"/>
        <v>0</v>
      </c>
      <c r="AS15" s="84" t="str">
        <f t="shared" si="4"/>
        <v>Tjeckien</v>
      </c>
      <c r="AT15" s="84">
        <f t="shared" si="5"/>
        <v>0</v>
      </c>
      <c r="AU15" s="84" t="str">
        <f t="shared" si="6"/>
        <v>Tjeckien</v>
      </c>
      <c r="AV15" s="84">
        <f t="shared" si="7"/>
        <v>0</v>
      </c>
      <c r="AW15" s="84" t="str">
        <f t="shared" si="8"/>
        <v/>
      </c>
      <c r="AX15" s="84" t="str">
        <f t="shared" si="9"/>
        <v/>
      </c>
      <c r="AY15" s="84" t="str">
        <f t="shared" si="10"/>
        <v/>
      </c>
      <c r="AZ15" s="84" t="str">
        <f t="shared" si="11"/>
        <v/>
      </c>
      <c r="BA15" s="84" t="str">
        <f t="shared" si="12"/>
        <v>Grekland</v>
      </c>
      <c r="BB15" s="84">
        <f t="shared" si="13"/>
        <v>0</v>
      </c>
      <c r="BC15" s="84" t="str">
        <f t="shared" si="14"/>
        <v>Grekland</v>
      </c>
      <c r="BD15" s="84">
        <f t="shared" si="15"/>
        <v>0</v>
      </c>
      <c r="BE15" s="84" t="str">
        <f t="shared" si="16"/>
        <v>Tjeckien</v>
      </c>
      <c r="BF15" s="84">
        <f t="shared" si="17"/>
        <v>0</v>
      </c>
      <c r="BG15" s="84" t="str">
        <f t="shared" si="18"/>
        <v>Tjeckien</v>
      </c>
      <c r="BH15" s="84">
        <f t="shared" si="19"/>
        <v>0</v>
      </c>
    </row>
    <row r="16" spans="1:60" ht="13.5" customHeight="1">
      <c r="A16" s="54" t="str">
        <f t="shared" ca="1" si="20"/>
        <v>12 jun</v>
      </c>
      <c r="B16" s="55" t="str">
        <f t="shared" si="21"/>
        <v>20:45</v>
      </c>
      <c r="C16" s="56" t="s">
        <v>1682</v>
      </c>
      <c r="D16" s="57" t="str">
        <f>T7</f>
        <v>Polen</v>
      </c>
      <c r="E16" s="77"/>
      <c r="F16" s="77"/>
      <c r="G16" s="58" t="str">
        <f>T9</f>
        <v>Ryssland</v>
      </c>
      <c r="H16" s="119" t="str">
        <f>$K$5</f>
        <v>Grupp A</v>
      </c>
      <c r="I16" s="120"/>
      <c r="K16" s="59" t="str">
        <f>VLOOKUP(2,S14:Z17,2,FALSE)</f>
        <v>Nederländerna</v>
      </c>
      <c r="L16" s="60">
        <f>VLOOKUP(2,S14:Z17,3,FALSE)</f>
        <v>0</v>
      </c>
      <c r="M16" s="60">
        <f>VLOOKUP(2,S14:Z17,4,FALSE)</f>
        <v>0</v>
      </c>
      <c r="N16" s="60">
        <f>VLOOKUP(2,S14:Z17,5,FALSE)</f>
        <v>0</v>
      </c>
      <c r="O16" s="60" t="str">
        <f>CONCATENATE(VLOOKUP(2,S14:Z17,6,FALSE)," - ",VLOOKUP(2,S14:Z17,7,FALSE))</f>
        <v>0 - 0</v>
      </c>
      <c r="P16" s="61">
        <f>VLOOKUP(2,S14:Z17,8,FALSE)</f>
        <v>0</v>
      </c>
      <c r="R16" s="84">
        <f ca="1">DATE(2012,6,12) + TIME(7,45,0) + GMT</f>
        <v>41072.864583333328</v>
      </c>
      <c r="S16" s="84">
        <f>IF(AB16&gt;AB14,1,0)+IF(AB16&gt;AB15,1,0)+IF(AB16&gt;AB16,1,0)+IF(AB16&gt;AB17,1,0)+1</f>
        <v>4</v>
      </c>
      <c r="T16" s="84" t="str">
        <f ca="1">INDEX(T,8,language)</f>
        <v>Tyskland</v>
      </c>
      <c r="U16" s="84">
        <f>COUNTIF(AW7:AX30,CONCATENATE(T16,"_win"))</f>
        <v>0</v>
      </c>
      <c r="V16" s="84">
        <f>COUNTIF(AW7:AX30,CONCATENATE(T16,"_draw"))</f>
        <v>0</v>
      </c>
      <c r="W16" s="84">
        <f>COUNTIF(AW7:AX30,CONCATENATE(T16,"_lose"))</f>
        <v>0</v>
      </c>
      <c r="X16" s="84">
        <f>SUMIF(AS7:AS30,CONCATENATE("=",T16),AT7:AT30)+SUMIF(AO7:AO30,CONCATENATE("=",T16),AP7:AP30)</f>
        <v>0</v>
      </c>
      <c r="Y16" s="84">
        <f>SUMIF(AU7:AU30,CONCATENATE("=",T16),AV7:AV30)+SUMIF(AQ7:AQ30,CONCATENATE("=",T16),AR7:AR30)</f>
        <v>0</v>
      </c>
      <c r="Z16" s="84">
        <f>U16*3+V16</f>
        <v>0</v>
      </c>
      <c r="AA16" s="84">
        <f>X16-Y16</f>
        <v>0</v>
      </c>
      <c r="AB16" s="92">
        <f ca="1">VLOOKUP(T16,team_rnk,2,FALSE)/5000/1000 + Z16/Z18*1000+AL16*100+AA16/AA18*10+X16/X18</f>
        <v>1.4137200000000001E-2</v>
      </c>
      <c r="AC16" s="84">
        <f>IF(COUNTIF(Z14:Z17,Z16)&gt;1,Z16,0)</f>
        <v>0</v>
      </c>
      <c r="AD16" s="84">
        <v>0</v>
      </c>
      <c r="AG16" s="84">
        <f>IF(Z16=AF14,1,0)</f>
        <v>1</v>
      </c>
      <c r="AH16" s="84">
        <f>COUNTIF(AY7:AZ30,CONCATENATE(T16,"_win"))</f>
        <v>0</v>
      </c>
      <c r="AI16" s="84">
        <f>SUMIF(BE7:BE30,CONCATENATE("=",T16),BF7:BF30)+SUMIF(BA7:BA30,CONCATENATE("=",T16),BB7:BB30)</f>
        <v>0</v>
      </c>
      <c r="AJ16" s="84">
        <f>SUMIF(BG7:BG30,CONCATENATE("=",T16),BH7:BH30)+SUMIF(BC7:BC30,CONCATENATE("=",T16),BD7:BD30)</f>
        <v>0</v>
      </c>
      <c r="AK16" s="84">
        <f>300*AH16+(AI16-AJ16)*10+AI16</f>
        <v>0</v>
      </c>
      <c r="AL16" s="84">
        <f>IF(AK16&gt;0,AK16/AK18,0)</f>
        <v>0</v>
      </c>
      <c r="AN16" s="84">
        <f t="shared" si="22"/>
        <v>2</v>
      </c>
      <c r="AO16" s="84" t="str">
        <f t="shared" si="0"/>
        <v>Polen</v>
      </c>
      <c r="AP16" s="84">
        <f t="shared" si="1"/>
        <v>0</v>
      </c>
      <c r="AQ16" s="84" t="str">
        <f t="shared" si="2"/>
        <v>Polen</v>
      </c>
      <c r="AR16" s="84">
        <f t="shared" si="3"/>
        <v>0</v>
      </c>
      <c r="AS16" s="84" t="str">
        <f t="shared" si="4"/>
        <v>Ryssland</v>
      </c>
      <c r="AT16" s="84">
        <f t="shared" si="5"/>
        <v>0</v>
      </c>
      <c r="AU16" s="84" t="str">
        <f t="shared" si="6"/>
        <v>Ryssland</v>
      </c>
      <c r="AV16" s="84">
        <f t="shared" si="7"/>
        <v>0</v>
      </c>
      <c r="AW16" s="84" t="str">
        <f t="shared" si="8"/>
        <v/>
      </c>
      <c r="AX16" s="84" t="str">
        <f t="shared" si="9"/>
        <v/>
      </c>
      <c r="AY16" s="84" t="str">
        <f t="shared" si="10"/>
        <v/>
      </c>
      <c r="AZ16" s="84" t="str">
        <f t="shared" si="11"/>
        <v/>
      </c>
      <c r="BA16" s="84" t="str">
        <f t="shared" si="12"/>
        <v>Polen</v>
      </c>
      <c r="BB16" s="84">
        <f t="shared" si="13"/>
        <v>0</v>
      </c>
      <c r="BC16" s="84" t="str">
        <f t="shared" si="14"/>
        <v>Polen</v>
      </c>
      <c r="BD16" s="84">
        <f t="shared" si="15"/>
        <v>0</v>
      </c>
      <c r="BE16" s="84" t="str">
        <f t="shared" si="16"/>
        <v>Ryssland</v>
      </c>
      <c r="BF16" s="84">
        <f t="shared" si="17"/>
        <v>0</v>
      </c>
      <c r="BG16" s="84" t="str">
        <f t="shared" si="18"/>
        <v>Ryssland</v>
      </c>
      <c r="BH16" s="84">
        <f t="shared" si="19"/>
        <v>0</v>
      </c>
    </row>
    <row r="17" spans="1:60" ht="13.5" customHeight="1">
      <c r="A17" s="54" t="str">
        <f t="shared" ca="1" si="20"/>
        <v>13 jun</v>
      </c>
      <c r="B17" s="55" t="str">
        <f t="shared" si="21"/>
        <v>18:00</v>
      </c>
      <c r="C17" s="56" t="s">
        <v>1685</v>
      </c>
      <c r="D17" s="57" t="str">
        <f>T15</f>
        <v>Danmark</v>
      </c>
      <c r="E17" s="77"/>
      <c r="F17" s="77"/>
      <c r="G17" s="58" t="str">
        <f>T17</f>
        <v>Portugal</v>
      </c>
      <c r="H17" s="119" t="str">
        <f>$K$12</f>
        <v>Grupp B</v>
      </c>
      <c r="I17" s="120"/>
      <c r="K17" s="62" t="str">
        <f>VLOOKUP(1,S14:Z17,2,FALSE)</f>
        <v>Danmark</v>
      </c>
      <c r="L17" s="63">
        <f>VLOOKUP(1,S14:Z17,3,FALSE)</f>
        <v>0</v>
      </c>
      <c r="M17" s="63">
        <f>VLOOKUP(1,S14:Z17,4,FALSE)</f>
        <v>0</v>
      </c>
      <c r="N17" s="63">
        <f>VLOOKUP(1,S14:Z17,5,FALSE)</f>
        <v>0</v>
      </c>
      <c r="O17" s="63" t="str">
        <f>CONCATENATE(VLOOKUP(1,S14:Z17,6,FALSE)," - ",VLOOKUP(1,S14:Z17,7,FALSE))</f>
        <v>0 - 0</v>
      </c>
      <c r="P17" s="64">
        <f>VLOOKUP(1,S14:Z17,8,FALSE)</f>
        <v>0</v>
      </c>
      <c r="R17" s="84">
        <f ca="1">DATE(2012,6,13) + TIME(5,0,0) + GMT</f>
        <v>41073.75</v>
      </c>
      <c r="S17" s="84">
        <f>IF(AB17&gt;AB14,1,0)+IF(AB17&gt;AB15,1,0)+IF(AB17&gt;AB16,1,0)+IF(AB17&gt;AB17,1,0)+1</f>
        <v>3</v>
      </c>
      <c r="T17" s="84" t="str">
        <f ca="1">INDEX(T,13,language)</f>
        <v>Portugal</v>
      </c>
      <c r="U17" s="84">
        <f>COUNTIF(AW7:AX30,CONCATENATE(T17,"_win"))</f>
        <v>0</v>
      </c>
      <c r="V17" s="84">
        <f>COUNTIF(AW7:AX30,CONCATENATE(T17,"_draw"))</f>
        <v>0</v>
      </c>
      <c r="W17" s="84">
        <f>COUNTIF(AW7:AX30,CONCATENATE(T17,"_lose"))</f>
        <v>0</v>
      </c>
      <c r="X17" s="84">
        <f>SUMIF(AS7:AS30,CONCATENATE("=",T17),AT7:AT30)+SUMIF(AO7:AO30,CONCATENATE("=",T17),AP7:AP30)</f>
        <v>0</v>
      </c>
      <c r="Y17" s="84">
        <f>SUMIF(AU7:AU30,CONCATENATE("=",T17),AV7:AV30)+SUMIF(AQ7:AQ30,CONCATENATE("=",T17),AR7:AR30)</f>
        <v>0</v>
      </c>
      <c r="Z17" s="84">
        <f>U17*3+V17</f>
        <v>0</v>
      </c>
      <c r="AA17" s="84">
        <f>X17-Y17</f>
        <v>0</v>
      </c>
      <c r="AB17" s="92">
        <f ca="1">VLOOKUP(T17,team_rnk,2,FALSE)/5000/1000 + Z17/Z18*1000+AL17*100+AA17/AA18*10+X17/X18</f>
        <v>1.0502599999999999E-2</v>
      </c>
      <c r="AC17" s="84">
        <f>IF(COUNTIF(Z14:Z17,Z17)&gt;1,Z17,0)</f>
        <v>0</v>
      </c>
      <c r="AD17" s="84">
        <v>0</v>
      </c>
      <c r="AG17" s="84">
        <f>IF(Z17=AF14,1,0)</f>
        <v>1</v>
      </c>
      <c r="AH17" s="84">
        <f>COUNTIF(AY7:AZ30,CONCATENATE(T17,"_win"))</f>
        <v>0</v>
      </c>
      <c r="AI17" s="84">
        <f>SUMIF(BE7:BE30,CONCATENATE("=",T17),BF7:BF30)+SUMIF(BA7:BA30,CONCATENATE("=",T17),BB7:BB30)</f>
        <v>0</v>
      </c>
      <c r="AJ17" s="84">
        <f>SUMIF(BG7:BG30,CONCATENATE("=",T17),BH7:BH30)+SUMIF(BC7:BC30,CONCATENATE("=",T17),BD7:BD30)</f>
        <v>0</v>
      </c>
      <c r="AK17" s="84">
        <f>300*AH17+(AI17-AJ17)*10+AI17</f>
        <v>0</v>
      </c>
      <c r="AL17" s="84">
        <f>IF(AK17&gt;0,AK17/AK18,0)</f>
        <v>0</v>
      </c>
      <c r="AN17" s="84">
        <f t="shared" si="22"/>
        <v>2</v>
      </c>
      <c r="AO17" s="84" t="str">
        <f t="shared" si="0"/>
        <v>Danmark</v>
      </c>
      <c r="AP17" s="84">
        <f t="shared" si="1"/>
        <v>0</v>
      </c>
      <c r="AQ17" s="84" t="str">
        <f t="shared" si="2"/>
        <v>Danmark</v>
      </c>
      <c r="AR17" s="84">
        <f t="shared" si="3"/>
        <v>0</v>
      </c>
      <c r="AS17" s="84" t="str">
        <f t="shared" si="4"/>
        <v>Portugal</v>
      </c>
      <c r="AT17" s="84">
        <f t="shared" si="5"/>
        <v>0</v>
      </c>
      <c r="AU17" s="84" t="str">
        <f t="shared" si="6"/>
        <v>Portugal</v>
      </c>
      <c r="AV17" s="84">
        <f t="shared" si="7"/>
        <v>0</v>
      </c>
      <c r="AW17" s="84" t="str">
        <f t="shared" si="8"/>
        <v/>
      </c>
      <c r="AX17" s="84" t="str">
        <f t="shared" si="9"/>
        <v/>
      </c>
      <c r="AY17" s="84" t="str">
        <f t="shared" si="10"/>
        <v/>
      </c>
      <c r="AZ17" s="84" t="str">
        <f t="shared" si="11"/>
        <v/>
      </c>
      <c r="BA17" s="84" t="str">
        <f t="shared" si="12"/>
        <v>Danmark</v>
      </c>
      <c r="BB17" s="84">
        <f t="shared" si="13"/>
        <v>0</v>
      </c>
      <c r="BC17" s="84" t="str">
        <f t="shared" si="14"/>
        <v>Danmark</v>
      </c>
      <c r="BD17" s="84">
        <f t="shared" si="15"/>
        <v>0</v>
      </c>
      <c r="BE17" s="84" t="str">
        <f t="shared" si="16"/>
        <v>Portugal</v>
      </c>
      <c r="BF17" s="84">
        <f t="shared" si="17"/>
        <v>0</v>
      </c>
      <c r="BG17" s="84" t="str">
        <f t="shared" si="18"/>
        <v>Portugal</v>
      </c>
      <c r="BH17" s="84">
        <f t="shared" si="19"/>
        <v>0</v>
      </c>
    </row>
    <row r="18" spans="1:60" ht="13.5" customHeight="1">
      <c r="A18" s="54" t="str">
        <f t="shared" ca="1" si="20"/>
        <v>13 jun</v>
      </c>
      <c r="B18" s="55" t="str">
        <f t="shared" si="21"/>
        <v>20:45</v>
      </c>
      <c r="C18" s="56" t="s">
        <v>1684</v>
      </c>
      <c r="D18" s="57" t="str">
        <f>T14</f>
        <v>Nederländerna</v>
      </c>
      <c r="E18" s="77"/>
      <c r="F18" s="77"/>
      <c r="G18" s="58" t="str">
        <f>T16</f>
        <v>Tyskland</v>
      </c>
      <c r="H18" s="119" t="str">
        <f>$K$12</f>
        <v>Grupp B</v>
      </c>
      <c r="I18" s="120"/>
      <c r="K18" s="65"/>
      <c r="R18" s="84">
        <f ca="1">DATE(2012,6,13) + TIME(7,45,0) + GMT</f>
        <v>41073.864583333328</v>
      </c>
      <c r="X18" s="84">
        <f>1+MAX(X14:X17)</f>
        <v>1</v>
      </c>
      <c r="Z18" s="84">
        <f>1+MAX(Z14:Z17)</f>
        <v>1</v>
      </c>
      <c r="AA18" s="84">
        <f>1+MAX(AA14:AA17)-MIN(AA14:AA17)</f>
        <v>1</v>
      </c>
      <c r="AB18" s="92"/>
      <c r="AC18" s="84">
        <f>MAX(AC14:AC17)</f>
        <v>0</v>
      </c>
      <c r="AK18" s="84">
        <f>1+MAX(AK14:AK17)</f>
        <v>1</v>
      </c>
      <c r="AN18" s="84">
        <f t="shared" si="22"/>
        <v>2</v>
      </c>
      <c r="AO18" s="84" t="str">
        <f t="shared" si="0"/>
        <v>Nederländerna</v>
      </c>
      <c r="AP18" s="84">
        <f t="shared" si="1"/>
        <v>0</v>
      </c>
      <c r="AQ18" s="84" t="str">
        <f t="shared" si="2"/>
        <v>Nederländerna</v>
      </c>
      <c r="AR18" s="84">
        <f t="shared" si="3"/>
        <v>0</v>
      </c>
      <c r="AS18" s="84" t="str">
        <f t="shared" si="4"/>
        <v>Tyskland</v>
      </c>
      <c r="AT18" s="84">
        <f t="shared" si="5"/>
        <v>0</v>
      </c>
      <c r="AU18" s="84" t="str">
        <f t="shared" si="6"/>
        <v>Tyskland</v>
      </c>
      <c r="AV18" s="84">
        <f t="shared" si="7"/>
        <v>0</v>
      </c>
      <c r="AW18" s="84" t="str">
        <f t="shared" si="8"/>
        <v/>
      </c>
      <c r="AX18" s="84" t="str">
        <f t="shared" si="9"/>
        <v/>
      </c>
      <c r="AY18" s="84" t="str">
        <f t="shared" si="10"/>
        <v/>
      </c>
      <c r="AZ18" s="84" t="str">
        <f t="shared" si="11"/>
        <v/>
      </c>
      <c r="BA18" s="84" t="str">
        <f t="shared" si="12"/>
        <v>Nederländerna</v>
      </c>
      <c r="BB18" s="84">
        <f t="shared" si="13"/>
        <v>0</v>
      </c>
      <c r="BC18" s="84" t="str">
        <f t="shared" si="14"/>
        <v>Nederländerna</v>
      </c>
      <c r="BD18" s="84">
        <f t="shared" si="15"/>
        <v>0</v>
      </c>
      <c r="BE18" s="84" t="str">
        <f t="shared" si="16"/>
        <v>Tyskland</v>
      </c>
      <c r="BF18" s="84">
        <f t="shared" si="17"/>
        <v>0</v>
      </c>
      <c r="BG18" s="84" t="str">
        <f t="shared" si="18"/>
        <v>Tyskland</v>
      </c>
      <c r="BH18" s="84">
        <f t="shared" si="19"/>
        <v>0</v>
      </c>
    </row>
    <row r="19" spans="1:60" ht="13.5" customHeight="1">
      <c r="A19" s="54" t="str">
        <f t="shared" ca="1" si="20"/>
        <v>14 jun</v>
      </c>
      <c r="B19" s="55" t="str">
        <f t="shared" si="21"/>
        <v>18:00</v>
      </c>
      <c r="C19" s="56" t="s">
        <v>1687</v>
      </c>
      <c r="D19" s="57" t="str">
        <f>T22</f>
        <v>Italien</v>
      </c>
      <c r="E19" s="77"/>
      <c r="F19" s="77"/>
      <c r="G19" s="58" t="str">
        <f>T24</f>
        <v>Kroatien</v>
      </c>
      <c r="H19" s="119" t="str">
        <f>$K$19</f>
        <v>Grupp C</v>
      </c>
      <c r="I19" s="120"/>
      <c r="K19" s="104" t="str">
        <f ca="1">INDEX(T,24,language) &amp; " C"</f>
        <v>Grupp C</v>
      </c>
      <c r="L19" s="95" t="str">
        <f ca="1">INDEX(T,19,language)</f>
        <v>V</v>
      </c>
      <c r="M19" s="95" t="str">
        <f ca="1">INDEX(T,20,language)</f>
        <v>O</v>
      </c>
      <c r="N19" s="95" t="str">
        <f ca="1">INDEX(T,21,language)</f>
        <v>F</v>
      </c>
      <c r="O19" s="95" t="str">
        <f ca="1">INDEX(T,22,language)</f>
        <v>Målsk</v>
      </c>
      <c r="P19" s="93" t="str">
        <f ca="1">INDEX(T,23,language)</f>
        <v>P</v>
      </c>
      <c r="R19" s="84">
        <f ca="1">DATE(2012,6,14) + TIME(5,0,0) + GMT</f>
        <v>41074.75</v>
      </c>
      <c r="AA19" s="84">
        <f>MIN(AA14:AA17)</f>
        <v>0</v>
      </c>
      <c r="AB19" s="92"/>
      <c r="AN19" s="84">
        <f t="shared" si="22"/>
        <v>2</v>
      </c>
      <c r="AO19" s="84" t="str">
        <f t="shared" si="0"/>
        <v>Italien</v>
      </c>
      <c r="AP19" s="84">
        <f t="shared" si="1"/>
        <v>0</v>
      </c>
      <c r="AQ19" s="84" t="str">
        <f t="shared" si="2"/>
        <v>Italien</v>
      </c>
      <c r="AR19" s="84">
        <f t="shared" si="3"/>
        <v>0</v>
      </c>
      <c r="AS19" s="84" t="str">
        <f t="shared" si="4"/>
        <v>Kroatien</v>
      </c>
      <c r="AT19" s="84">
        <f t="shared" si="5"/>
        <v>0</v>
      </c>
      <c r="AU19" s="84" t="str">
        <f t="shared" si="6"/>
        <v>Kroatien</v>
      </c>
      <c r="AV19" s="84">
        <f t="shared" si="7"/>
        <v>0</v>
      </c>
      <c r="AW19" s="84" t="str">
        <f t="shared" si="8"/>
        <v/>
      </c>
      <c r="AX19" s="84" t="str">
        <f t="shared" si="9"/>
        <v/>
      </c>
      <c r="AY19" s="84" t="str">
        <f t="shared" si="10"/>
        <v/>
      </c>
      <c r="AZ19" s="84" t="str">
        <f t="shared" si="11"/>
        <v/>
      </c>
      <c r="BA19" s="84" t="str">
        <f t="shared" si="12"/>
        <v>Italien</v>
      </c>
      <c r="BB19" s="84">
        <f t="shared" si="13"/>
        <v>0</v>
      </c>
      <c r="BC19" s="84" t="str">
        <f t="shared" si="14"/>
        <v>Italien</v>
      </c>
      <c r="BD19" s="84">
        <f t="shared" si="15"/>
        <v>0</v>
      </c>
      <c r="BE19" s="84" t="str">
        <f t="shared" si="16"/>
        <v>Kroatien</v>
      </c>
      <c r="BF19" s="84">
        <f t="shared" si="17"/>
        <v>0</v>
      </c>
      <c r="BG19" s="84" t="str">
        <f t="shared" si="18"/>
        <v>Kroatien</v>
      </c>
      <c r="BH19" s="84">
        <f t="shared" si="19"/>
        <v>0</v>
      </c>
    </row>
    <row r="20" spans="1:60" ht="13.5" customHeight="1">
      <c r="A20" s="54" t="str">
        <f t="shared" ca="1" si="20"/>
        <v>14 jun</v>
      </c>
      <c r="B20" s="55" t="str">
        <f t="shared" si="21"/>
        <v>20:45</v>
      </c>
      <c r="C20" s="56" t="s">
        <v>1686</v>
      </c>
      <c r="D20" s="57" t="str">
        <f>T21</f>
        <v>Spanien</v>
      </c>
      <c r="E20" s="77"/>
      <c r="F20" s="77"/>
      <c r="G20" s="58" t="str">
        <f>T23</f>
        <v>Irland</v>
      </c>
      <c r="H20" s="119" t="str">
        <f>$K$19</f>
        <v>Grupp C</v>
      </c>
      <c r="I20" s="120"/>
      <c r="K20" s="110"/>
      <c r="L20" s="106"/>
      <c r="M20" s="106"/>
      <c r="N20" s="106"/>
      <c r="O20" s="106"/>
      <c r="P20" s="94"/>
      <c r="R20" s="84">
        <f ca="1">DATE(2012,6,14) + TIME(7,45,0) + GMT</f>
        <v>41074.864583333328</v>
      </c>
      <c r="AB20" s="92"/>
      <c r="AN20" s="84">
        <f t="shared" si="22"/>
        <v>2</v>
      </c>
      <c r="AO20" s="84" t="str">
        <f t="shared" si="0"/>
        <v>Spanien</v>
      </c>
      <c r="AP20" s="84">
        <f t="shared" si="1"/>
        <v>0</v>
      </c>
      <c r="AQ20" s="84" t="str">
        <f t="shared" si="2"/>
        <v>Spanien</v>
      </c>
      <c r="AR20" s="84">
        <f t="shared" si="3"/>
        <v>0</v>
      </c>
      <c r="AS20" s="84" t="str">
        <f t="shared" si="4"/>
        <v>Irland</v>
      </c>
      <c r="AT20" s="84">
        <f t="shared" si="5"/>
        <v>0</v>
      </c>
      <c r="AU20" s="84" t="str">
        <f t="shared" si="6"/>
        <v>Irland</v>
      </c>
      <c r="AV20" s="84">
        <f t="shared" si="7"/>
        <v>0</v>
      </c>
      <c r="AW20" s="84" t="str">
        <f t="shared" si="8"/>
        <v/>
      </c>
      <c r="AX20" s="84" t="str">
        <f t="shared" si="9"/>
        <v/>
      </c>
      <c r="AY20" s="84" t="str">
        <f t="shared" si="10"/>
        <v/>
      </c>
      <c r="AZ20" s="84" t="str">
        <f t="shared" si="11"/>
        <v/>
      </c>
      <c r="BA20" s="84" t="str">
        <f t="shared" si="12"/>
        <v>Spanien</v>
      </c>
      <c r="BB20" s="84">
        <f t="shared" si="13"/>
        <v>0</v>
      </c>
      <c r="BC20" s="84" t="str">
        <f t="shared" si="14"/>
        <v>Spanien</v>
      </c>
      <c r="BD20" s="84">
        <f t="shared" si="15"/>
        <v>0</v>
      </c>
      <c r="BE20" s="84" t="str">
        <f t="shared" si="16"/>
        <v>Irland</v>
      </c>
      <c r="BF20" s="84">
        <f t="shared" si="17"/>
        <v>0</v>
      </c>
      <c r="BG20" s="84" t="str">
        <f t="shared" si="18"/>
        <v>Irland</v>
      </c>
      <c r="BH20" s="84">
        <f t="shared" si="19"/>
        <v>0</v>
      </c>
    </row>
    <row r="21" spans="1:60" ht="13.5" customHeight="1">
      <c r="A21" s="54" t="str">
        <f t="shared" ca="1" si="20"/>
        <v>15 jun</v>
      </c>
      <c r="B21" s="55" t="str">
        <f t="shared" si="21"/>
        <v>18:00</v>
      </c>
      <c r="C21" s="56" t="s">
        <v>1688</v>
      </c>
      <c r="D21" s="57" t="str">
        <f>T31</f>
        <v>Ukraina</v>
      </c>
      <c r="E21" s="77"/>
      <c r="F21" s="77"/>
      <c r="G21" s="58" t="str">
        <f>T29</f>
        <v>Frankrike</v>
      </c>
      <c r="H21" s="119" t="str">
        <f>$K$26</f>
        <v>Grupp D</v>
      </c>
      <c r="I21" s="120"/>
      <c r="K21" s="51" t="str">
        <f>VLOOKUP(4,S21:Z24,2,FALSE)</f>
        <v>Spanien</v>
      </c>
      <c r="L21" s="52">
        <f>VLOOKUP(4,S21:Z24,3,FALSE)</f>
        <v>0</v>
      </c>
      <c r="M21" s="52">
        <f>VLOOKUP(4,S21:Z24,4,FALSE)</f>
        <v>0</v>
      </c>
      <c r="N21" s="52">
        <f>VLOOKUP(4,S21:Z24,5,FALSE)</f>
        <v>0</v>
      </c>
      <c r="O21" s="52" t="str">
        <f>CONCATENATE(VLOOKUP(4,S21:Z24,6,FALSE)," - ",VLOOKUP(4,S21:Z24,7,FALSE))</f>
        <v>0 - 0</v>
      </c>
      <c r="P21" s="53">
        <f>VLOOKUP(4,S21:Z24,8,FALSE)</f>
        <v>0</v>
      </c>
      <c r="R21" s="84">
        <f ca="1">DATE(2012,6,15) + TIME(5,0,0) + GMT</f>
        <v>41075.75</v>
      </c>
      <c r="S21" s="84">
        <f>IF(AB21&gt;AB21,1,0)+IF(AB21&gt;AB22,1,0)+IF(AB21&gt;AB23,1,0)+IF(AB21&gt;AB24,1,0)+1</f>
        <v>4</v>
      </c>
      <c r="T21" s="84" t="str">
        <f ca="1">INDEX(T,16,language)</f>
        <v>Spanien</v>
      </c>
      <c r="U21" s="84">
        <f>COUNTIF(AW7:AX30,CONCATENATE(T21,"_win"))</f>
        <v>0</v>
      </c>
      <c r="V21" s="84">
        <f>COUNTIF(AW7:AX30,CONCATENATE(T21,"_draw"))</f>
        <v>0</v>
      </c>
      <c r="W21" s="84">
        <f>COUNTIF(AW7:AX30,CONCATENATE(T21,"_lose"))</f>
        <v>0</v>
      </c>
      <c r="X21" s="84">
        <f>SUMIF(AS7:AS30,CONCATENATE("=",T21),AT7:AT30)+SUMIF(AO7:AO30,CONCATENATE("=",T21),AP7:AP30)</f>
        <v>0</v>
      </c>
      <c r="Y21" s="84">
        <f>SUMIF(AU7:AU30,CONCATENATE("=",T21),AV7:AV30)+SUMIF(AQ7:AQ30,CONCATENATE("=",T21),AR7:AR30)</f>
        <v>0</v>
      </c>
      <c r="Z21" s="84">
        <f>U21*3+V21</f>
        <v>0</v>
      </c>
      <c r="AA21" s="84">
        <f>X21-Y21</f>
        <v>0</v>
      </c>
      <c r="AB21" s="92">
        <f ca="1">VLOOKUP(T21,team_rnk,2,FALSE)/5000/1000 + Z21/Z25*1000+AL21*100+AA21/AA25*10+X21/X25</f>
        <v>1.49228E-2</v>
      </c>
      <c r="AC21" s="84">
        <f>IF(COUNTIF(Z21:Z24,Z21)&gt;1,Z21,0)</f>
        <v>0</v>
      </c>
      <c r="AD21" s="84">
        <v>0</v>
      </c>
      <c r="AE21" s="84" t="str">
        <f ca="1">IF(SUM(U21:W24)=12,VLOOKUP(4,S21:T24,2,FALSE),INDEX(T,36,language))</f>
        <v>Vinnare grupp C</v>
      </c>
      <c r="AF21" s="84">
        <f>IF(AC21=AC25,Z21,IF(AC22=AC25,Z22,IF(AC23=AC25,Z23,Z24)))</f>
        <v>0</v>
      </c>
      <c r="AG21" s="84">
        <f>IF(Z21=AF21,1,0)</f>
        <v>1</v>
      </c>
      <c r="AH21" s="84">
        <f>COUNTIF(AY7:AZ30,CONCATENATE(T21,"_win"))</f>
        <v>0</v>
      </c>
      <c r="AI21" s="84">
        <f>SUMIF(BE7:BE30,CONCATENATE("=",T21),BF7:BF30)+SUMIF(BA7:BA30,CONCATENATE("=",T21),BB7:BB30)</f>
        <v>0</v>
      </c>
      <c r="AJ21" s="84">
        <f>SUMIF(BG7:BG30,CONCATENATE("=",T21),BH7:BH30)+SUMIF(BC7:BC30,CONCATENATE("=",T21),BD7:BD30)</f>
        <v>0</v>
      </c>
      <c r="AK21" s="84">
        <f>300*AH21+(AI21-AJ21)*10+AI21</f>
        <v>0</v>
      </c>
      <c r="AL21" s="84">
        <f>IF(AK21&gt;0,AK21/AK25,0)</f>
        <v>0</v>
      </c>
      <c r="AN21" s="84">
        <f t="shared" si="22"/>
        <v>2</v>
      </c>
      <c r="AO21" s="84" t="str">
        <f t="shared" si="0"/>
        <v>Ukraina</v>
      </c>
      <c r="AP21" s="84">
        <f t="shared" si="1"/>
        <v>0</v>
      </c>
      <c r="AQ21" s="84" t="str">
        <f t="shared" si="2"/>
        <v>Ukraina</v>
      </c>
      <c r="AR21" s="84">
        <f t="shared" si="3"/>
        <v>0</v>
      </c>
      <c r="AS21" s="84" t="str">
        <f t="shared" si="4"/>
        <v>Frankrike</v>
      </c>
      <c r="AT21" s="84">
        <f t="shared" si="5"/>
        <v>0</v>
      </c>
      <c r="AU21" s="84" t="str">
        <f t="shared" si="6"/>
        <v>Frankrike</v>
      </c>
      <c r="AV21" s="84">
        <f t="shared" si="7"/>
        <v>0</v>
      </c>
      <c r="AW21" s="84" t="str">
        <f t="shared" si="8"/>
        <v/>
      </c>
      <c r="AX21" s="84" t="str">
        <f t="shared" si="9"/>
        <v/>
      </c>
      <c r="AY21" s="84" t="str">
        <f t="shared" si="10"/>
        <v/>
      </c>
      <c r="AZ21" s="84" t="str">
        <f t="shared" si="11"/>
        <v/>
      </c>
      <c r="BA21" s="84" t="str">
        <f t="shared" si="12"/>
        <v>Ukraina</v>
      </c>
      <c r="BB21" s="84">
        <f t="shared" si="13"/>
        <v>0</v>
      </c>
      <c r="BC21" s="84" t="str">
        <f t="shared" si="14"/>
        <v>Ukraina</v>
      </c>
      <c r="BD21" s="84">
        <f t="shared" si="15"/>
        <v>0</v>
      </c>
      <c r="BE21" s="84" t="str">
        <f t="shared" si="16"/>
        <v>Frankrike</v>
      </c>
      <c r="BF21" s="84">
        <f t="shared" si="17"/>
        <v>0</v>
      </c>
      <c r="BG21" s="84" t="str">
        <f t="shared" si="18"/>
        <v>Frankrike</v>
      </c>
      <c r="BH21" s="84">
        <f t="shared" si="19"/>
        <v>0</v>
      </c>
    </row>
    <row r="22" spans="1:60" ht="13.5" customHeight="1">
      <c r="A22" s="54" t="str">
        <f t="shared" ca="1" si="20"/>
        <v>15 jun</v>
      </c>
      <c r="B22" s="55" t="str">
        <f t="shared" si="21"/>
        <v>20:45</v>
      </c>
      <c r="C22" s="56" t="s">
        <v>1689</v>
      </c>
      <c r="D22" s="57" t="str">
        <f>T30</f>
        <v>Sverige</v>
      </c>
      <c r="E22" s="77"/>
      <c r="F22" s="77"/>
      <c r="G22" s="58" t="str">
        <f>T28</f>
        <v>England</v>
      </c>
      <c r="H22" s="119" t="str">
        <f>$K$26</f>
        <v>Grupp D</v>
      </c>
      <c r="I22" s="120"/>
      <c r="K22" s="59" t="str">
        <f>VLOOKUP(3,S21:Z24,2,FALSE)</f>
        <v>Italien</v>
      </c>
      <c r="L22" s="60">
        <f>VLOOKUP(3,S21:Z24,3,FALSE)</f>
        <v>0</v>
      </c>
      <c r="M22" s="60">
        <f>VLOOKUP(3,S21:Z24,4,FALSE)</f>
        <v>0</v>
      </c>
      <c r="N22" s="60">
        <f>VLOOKUP(3,S21:Z24,5,FALSE)</f>
        <v>0</v>
      </c>
      <c r="O22" s="60" t="str">
        <f>CONCATENATE(VLOOKUP(3,S21:Z24,6,FALSE)," - ",VLOOKUP(3,S21:Z24,7,FALSE))</f>
        <v>0 - 0</v>
      </c>
      <c r="P22" s="61">
        <f>VLOOKUP(3,S21:Z24,8,FALSE)</f>
        <v>0</v>
      </c>
      <c r="R22" s="84">
        <f ca="1">DATE(2012,6,15) + TIME(7,45,0) + GMT</f>
        <v>41075.864583333328</v>
      </c>
      <c r="S22" s="84">
        <f>IF(AB22&gt;AB21,1,0)+IF(AB22&gt;AB22,1,0)+IF(AB22&gt;AB23,1,0)+IF(AB22&gt;AB24,1,0)+1</f>
        <v>3</v>
      </c>
      <c r="T22" s="84" t="str">
        <f ca="1">INDEX(T,10,language)</f>
        <v>Italien</v>
      </c>
      <c r="U22" s="84">
        <f>COUNTIF(AW7:AX30,CONCATENATE(T22,"_win"))</f>
        <v>0</v>
      </c>
      <c r="V22" s="84">
        <f>COUNTIF(AW7:AX30,CONCATENATE(T22,"_draw"))</f>
        <v>0</v>
      </c>
      <c r="W22" s="84">
        <f>COUNTIF(AW7:AX30,CONCATENATE(T22,"_lose"))</f>
        <v>0</v>
      </c>
      <c r="X22" s="84">
        <f>SUMIF(AS7:AS30,CONCATENATE("=",T22),AT7:AT30)+SUMIF(AO7:AO30,CONCATENATE("=",T22),AP7:AP30)</f>
        <v>0</v>
      </c>
      <c r="Y22" s="84">
        <f>SUMIF(AU7:AU30,CONCATENATE("=",T22),AV7:AV30)+SUMIF(AQ7:AQ30,CONCATENATE("=",T22),AR7:AR30)</f>
        <v>0</v>
      </c>
      <c r="Z22" s="84">
        <f>U22*3+V22</f>
        <v>0</v>
      </c>
      <c r="AA22" s="84">
        <f>X22-Y22</f>
        <v>0</v>
      </c>
      <c r="AB22" s="92">
        <f ca="1">VLOOKUP(T22,team_rnk,2,FALSE)/5000/1000 + Z22/Z25*1000+AL22*100+AA22/AA25*10+X22/X25</f>
        <v>1.1624800000000001E-2</v>
      </c>
      <c r="AC22" s="84">
        <f>IF(COUNTIF(Z21:Z24,Z22)&gt;1,Z22,0)</f>
        <v>0</v>
      </c>
      <c r="AD22" s="84">
        <v>0</v>
      </c>
      <c r="AE22" s="84" t="str">
        <f ca="1">IF(SUM(U21:W24)=12,VLOOKUP(3,S21:T24,2,FALSE),INDEX(T,37,language))</f>
        <v>Tvåa grupp C</v>
      </c>
      <c r="AG22" s="84">
        <f>IF(Z22=AF21,1,0)</f>
        <v>1</v>
      </c>
      <c r="AH22" s="84">
        <f>COUNTIF(AY7:AZ30,CONCATENATE(T22,"_win"))</f>
        <v>0</v>
      </c>
      <c r="AI22" s="84">
        <f>SUMIF(BE7:BE30,CONCATENATE("=",T22),BF7:BF30)+SUMIF(BA7:BA30,CONCATENATE("=",T22),BB7:BB30)</f>
        <v>0</v>
      </c>
      <c r="AJ22" s="84">
        <f>SUMIF(BG7:BG30,CONCATENATE("=",T22),BH7:BH30)+SUMIF(BC7:BC30,CONCATENATE("=",T22),BD7:BD30)</f>
        <v>0</v>
      </c>
      <c r="AK22" s="84">
        <f>300*AH22+(AI22-AJ22)*10+AI22</f>
        <v>0</v>
      </c>
      <c r="AL22" s="84">
        <f>IF(AK22&gt;0,AK22/AK25,0)</f>
        <v>0</v>
      </c>
      <c r="AN22" s="84">
        <f t="shared" si="22"/>
        <v>2</v>
      </c>
      <c r="AO22" s="84" t="str">
        <f t="shared" si="0"/>
        <v>Sverige</v>
      </c>
      <c r="AP22" s="84">
        <f t="shared" si="1"/>
        <v>0</v>
      </c>
      <c r="AQ22" s="84" t="str">
        <f t="shared" si="2"/>
        <v>Sverige</v>
      </c>
      <c r="AR22" s="84">
        <f t="shared" si="3"/>
        <v>0</v>
      </c>
      <c r="AS22" s="84" t="str">
        <f t="shared" si="4"/>
        <v>England</v>
      </c>
      <c r="AT22" s="84">
        <f t="shared" si="5"/>
        <v>0</v>
      </c>
      <c r="AU22" s="84" t="str">
        <f t="shared" si="6"/>
        <v>England</v>
      </c>
      <c r="AV22" s="84">
        <f t="shared" si="7"/>
        <v>0</v>
      </c>
      <c r="AW22" s="84" t="str">
        <f t="shared" si="8"/>
        <v/>
      </c>
      <c r="AX22" s="84" t="str">
        <f t="shared" si="9"/>
        <v/>
      </c>
      <c r="AY22" s="84" t="str">
        <f t="shared" si="10"/>
        <v/>
      </c>
      <c r="AZ22" s="84" t="str">
        <f t="shared" si="11"/>
        <v/>
      </c>
      <c r="BA22" s="84" t="str">
        <f t="shared" si="12"/>
        <v>Sverige</v>
      </c>
      <c r="BB22" s="84">
        <f t="shared" si="13"/>
        <v>0</v>
      </c>
      <c r="BC22" s="84" t="str">
        <f t="shared" si="14"/>
        <v>Sverige</v>
      </c>
      <c r="BD22" s="84">
        <f t="shared" si="15"/>
        <v>0</v>
      </c>
      <c r="BE22" s="84" t="str">
        <f t="shared" si="16"/>
        <v>England</v>
      </c>
      <c r="BF22" s="84">
        <f t="shared" si="17"/>
        <v>0</v>
      </c>
      <c r="BG22" s="84" t="str">
        <f t="shared" si="18"/>
        <v>England</v>
      </c>
      <c r="BH22" s="84">
        <f t="shared" si="19"/>
        <v>0</v>
      </c>
    </row>
    <row r="23" spans="1:60" ht="13.5" customHeight="1">
      <c r="A23" s="54" t="str">
        <f t="shared" ca="1" si="20"/>
        <v>16 jun</v>
      </c>
      <c r="B23" s="55" t="str">
        <f t="shared" si="21"/>
        <v>20:45</v>
      </c>
      <c r="C23" s="56" t="s">
        <v>1682</v>
      </c>
      <c r="D23" s="57" t="str">
        <f>T8</f>
        <v>Grekland</v>
      </c>
      <c r="E23" s="77"/>
      <c r="F23" s="77"/>
      <c r="G23" s="58" t="str">
        <f>T9</f>
        <v>Ryssland</v>
      </c>
      <c r="H23" s="119" t="str">
        <f>$K$5</f>
        <v>Grupp A</v>
      </c>
      <c r="I23" s="120"/>
      <c r="K23" s="59" t="str">
        <f>VLOOKUP(2,S21:Z24,2,FALSE)</f>
        <v>Kroatien</v>
      </c>
      <c r="L23" s="60">
        <f>VLOOKUP(2,S21:Z24,3,FALSE)</f>
        <v>0</v>
      </c>
      <c r="M23" s="60">
        <f>VLOOKUP(2,S21:Z24,4,FALSE)</f>
        <v>0</v>
      </c>
      <c r="N23" s="60">
        <f>VLOOKUP(2,S21:Z24,5,FALSE)</f>
        <v>0</v>
      </c>
      <c r="O23" s="60" t="str">
        <f>CONCATENATE(VLOOKUP(2,S21:Z24,6,FALSE)," - ",VLOOKUP(2,S21:Z24,7,FALSE))</f>
        <v>0 - 0</v>
      </c>
      <c r="P23" s="61">
        <f>VLOOKUP(2,S21:Z24,8,FALSE)</f>
        <v>0</v>
      </c>
      <c r="R23" s="84">
        <f ca="1">DATE(2012,6,16) + TIME(7,45,0) + GMT</f>
        <v>41076.864583333328</v>
      </c>
      <c r="S23" s="84">
        <f>IF(AB23&gt;AB21,1,0)+IF(AB23&gt;AB22,1,0)+IF(AB23&gt;AB23,1,0)+IF(AB23&gt;AB24,1,0)+1</f>
        <v>1</v>
      </c>
      <c r="T23" s="84" t="str">
        <f ca="1">INDEX(T,14,language)</f>
        <v>Irland</v>
      </c>
      <c r="U23" s="84">
        <f>COUNTIF(AW7:AX30,CONCATENATE(T23,"_win"))</f>
        <v>0</v>
      </c>
      <c r="V23" s="84">
        <f>COUNTIF(AW7:AX30,CONCATENATE(T23,"_draw"))</f>
        <v>0</v>
      </c>
      <c r="W23" s="84">
        <f>COUNTIF(AW7:AX30,CONCATENATE(T23,"_lose"))</f>
        <v>0</v>
      </c>
      <c r="X23" s="84">
        <f>SUMIF(AS7:AS30,CONCATENATE("=",T23),AT7:AT30)+SUMIF(AO7:AO30,CONCATENATE("=",T23),AP7:AP30)</f>
        <v>0</v>
      </c>
      <c r="Y23" s="84">
        <f>SUMIF(AU7:AU30,CONCATENATE("=",T23),AV7:AV30)+SUMIF(AQ7:AQ30,CONCATENATE("=",T23),AR7:AR30)</f>
        <v>0</v>
      </c>
      <c r="Z23" s="84">
        <f>U23*3+V23</f>
        <v>0</v>
      </c>
      <c r="AA23" s="84">
        <f>X23-Y23</f>
        <v>0</v>
      </c>
      <c r="AB23" s="92">
        <f ca="1">VLOOKUP(T23,team_rnk,2,FALSE)/5000/1000 + Z23/Z25*1000+AL23*100+AA23/AA25*10+X23/X25</f>
        <v>1.4750000000000002E-3</v>
      </c>
      <c r="AC23" s="84">
        <f>IF(COUNTIF(Z21:Z24,Z23)&gt;1,Z23,0)</f>
        <v>0</v>
      </c>
      <c r="AD23" s="84">
        <v>0</v>
      </c>
      <c r="AG23" s="84">
        <f>IF(Z23=AF21,1,0)</f>
        <v>1</v>
      </c>
      <c r="AH23" s="84">
        <f>COUNTIF(AY7:AZ30,CONCATENATE(T23,"_win"))</f>
        <v>0</v>
      </c>
      <c r="AI23" s="84">
        <f>SUMIF(BE7:BE30,CONCATENATE("=",T23),BF7:BF30)+SUMIF(BA7:BA30,CONCATENATE("=",T23),BB7:BB30)</f>
        <v>0</v>
      </c>
      <c r="AJ23" s="84">
        <f>SUMIF(BG7:BG30,CONCATENATE("=",T23),BH7:BH30)+SUMIF(BC7:BC30,CONCATENATE("=",T23),BD7:BD30)</f>
        <v>0</v>
      </c>
      <c r="AK23" s="84">
        <f>300*AH23+(AI23-AJ23)*10+AI23</f>
        <v>0</v>
      </c>
      <c r="AL23" s="84">
        <f>IF(AK23&gt;0,AK23/AK25,0)</f>
        <v>0</v>
      </c>
      <c r="AN23" s="84">
        <f t="shared" si="22"/>
        <v>2</v>
      </c>
      <c r="AO23" s="84" t="str">
        <f t="shared" si="0"/>
        <v>Grekland</v>
      </c>
      <c r="AP23" s="84">
        <f t="shared" si="1"/>
        <v>0</v>
      </c>
      <c r="AQ23" s="84" t="str">
        <f t="shared" si="2"/>
        <v>Grekland</v>
      </c>
      <c r="AR23" s="84">
        <f t="shared" si="3"/>
        <v>0</v>
      </c>
      <c r="AS23" s="84" t="str">
        <f t="shared" si="4"/>
        <v>Ryssland</v>
      </c>
      <c r="AT23" s="84">
        <f t="shared" si="5"/>
        <v>0</v>
      </c>
      <c r="AU23" s="84" t="str">
        <f t="shared" si="6"/>
        <v>Ryssland</v>
      </c>
      <c r="AV23" s="84">
        <f t="shared" si="7"/>
        <v>0</v>
      </c>
      <c r="AW23" s="84" t="str">
        <f t="shared" si="8"/>
        <v/>
      </c>
      <c r="AX23" s="84" t="str">
        <f t="shared" si="9"/>
        <v/>
      </c>
      <c r="AY23" s="84" t="str">
        <f t="shared" si="10"/>
        <v/>
      </c>
      <c r="AZ23" s="84" t="str">
        <f t="shared" si="11"/>
        <v/>
      </c>
      <c r="BA23" s="84" t="str">
        <f t="shared" si="12"/>
        <v>Grekland</v>
      </c>
      <c r="BB23" s="84">
        <f t="shared" si="13"/>
        <v>0</v>
      </c>
      <c r="BC23" s="84" t="str">
        <f t="shared" si="14"/>
        <v>Grekland</v>
      </c>
      <c r="BD23" s="84">
        <f t="shared" si="15"/>
        <v>0</v>
      </c>
      <c r="BE23" s="84" t="str">
        <f t="shared" si="16"/>
        <v>Ryssland</v>
      </c>
      <c r="BF23" s="84">
        <f t="shared" si="17"/>
        <v>0</v>
      </c>
      <c r="BG23" s="84" t="str">
        <f t="shared" si="18"/>
        <v>Ryssland</v>
      </c>
      <c r="BH23" s="84">
        <f t="shared" si="19"/>
        <v>0</v>
      </c>
    </row>
    <row r="24" spans="1:60" ht="13.5" customHeight="1">
      <c r="A24" s="54" t="str">
        <f t="shared" ca="1" si="20"/>
        <v>16 jun</v>
      </c>
      <c r="B24" s="55" t="str">
        <f t="shared" si="21"/>
        <v>20:45</v>
      </c>
      <c r="C24" s="56" t="s">
        <v>1683</v>
      </c>
      <c r="D24" s="57" t="str">
        <f>T10</f>
        <v>Tjeckien</v>
      </c>
      <c r="E24" s="77"/>
      <c r="F24" s="77"/>
      <c r="G24" s="58" t="str">
        <f>T7</f>
        <v>Polen</v>
      </c>
      <c r="H24" s="119" t="str">
        <f>$K$5</f>
        <v>Grupp A</v>
      </c>
      <c r="I24" s="120"/>
      <c r="K24" s="62" t="str">
        <f>VLOOKUP(1,S21:Z24,2,FALSE)</f>
        <v>Irland</v>
      </c>
      <c r="L24" s="63">
        <f>VLOOKUP(1,S21:Z24,3,FALSE)</f>
        <v>0</v>
      </c>
      <c r="M24" s="63">
        <f>VLOOKUP(1,S21:Z24,4,FALSE)</f>
        <v>0</v>
      </c>
      <c r="N24" s="63">
        <f>VLOOKUP(1,S21:Z24,5,FALSE)</f>
        <v>0</v>
      </c>
      <c r="O24" s="63" t="str">
        <f>CONCATENATE(VLOOKUP(1,S21:Z24,6,FALSE)," - ",VLOOKUP(1,S21:Z24,7,FALSE))</f>
        <v>0 - 0</v>
      </c>
      <c r="P24" s="64">
        <f>VLOOKUP(1,S21:Z24,8,FALSE)</f>
        <v>0</v>
      </c>
      <c r="R24" s="84">
        <f ca="1">DATE(2012,6,16) + TIME(7,45,0) + GMT</f>
        <v>41076.864583333328</v>
      </c>
      <c r="S24" s="84">
        <f>IF(AB24&gt;AB21,1,0)+IF(AB24&gt;AB22,1,0)+IF(AB24&gt;AB23,1,0)+IF(AB24&gt;AB24,1,0)+1</f>
        <v>2</v>
      </c>
      <c r="T24" s="84" t="str">
        <f ca="1">INDEX(T,3,language)</f>
        <v>Kroatien</v>
      </c>
      <c r="U24" s="84">
        <f>COUNTIF(AW7:AX30,CONCATENATE(T24,"_win"))</f>
        <v>0</v>
      </c>
      <c r="V24" s="84">
        <f>COUNTIF(AW7:AX30,CONCATENATE(T24,"_draw"))</f>
        <v>0</v>
      </c>
      <c r="W24" s="84">
        <f>COUNTIF(AW7:AX30,CONCATENATE(T24,"_lose"))</f>
        <v>0</v>
      </c>
      <c r="X24" s="84">
        <f>SUMIF(AS7:AS30,CONCATENATE("=",T24),AT7:AT30)+SUMIF(AO7:AO30,CONCATENATE("=",T24),AP7:AP30)</f>
        <v>0</v>
      </c>
      <c r="Y24" s="84">
        <f>SUMIF(AU7:AU30,CONCATENATE("=",T24),AV7:AV30)+SUMIF(AQ7:AQ30,CONCATENATE("=",T24),AR7:AR30)</f>
        <v>0</v>
      </c>
      <c r="Z24" s="84">
        <f>U24*3+V24</f>
        <v>0</v>
      </c>
      <c r="AA24" s="84">
        <f>X24-Y24</f>
        <v>0</v>
      </c>
      <c r="AB24" s="92">
        <f ca="1">VLOOKUP(T24,team_rnk,2,FALSE)/5000/1000 + Z24/Z25*1000+AL24*100+AA24/AA25*10+X24/X25</f>
        <v>3.7748E-3</v>
      </c>
      <c r="AC24" s="84">
        <f>IF(COUNTIF(Z21:Z24,Z24)&gt;1,Z24,0)</f>
        <v>0</v>
      </c>
      <c r="AD24" s="84">
        <v>0</v>
      </c>
      <c r="AG24" s="84">
        <f>IF(Z24=AF21,1,0)</f>
        <v>1</v>
      </c>
      <c r="AH24" s="84">
        <f>COUNTIF(AY7:AZ30,CONCATENATE(T24,"_win"))</f>
        <v>0</v>
      </c>
      <c r="AI24" s="84">
        <f>SUMIF(BE7:BE30,CONCATENATE("=",T24),BF7:BF30)+SUMIF(BA7:BA30,CONCATENATE("=",T24),BB7:BB30)</f>
        <v>0</v>
      </c>
      <c r="AJ24" s="84">
        <f>SUMIF(BG7:BG30,CONCATENATE("=",T24),BH7:BH30)+SUMIF(BC7:BC30,CONCATENATE("=",T24),BD7:BD30)</f>
        <v>0</v>
      </c>
      <c r="AK24" s="84">
        <f>300*AH24+(AI24-AJ24)*10+AI24</f>
        <v>0</v>
      </c>
      <c r="AL24" s="84">
        <f>IF(AK24&gt;0,AK24/AK25,0)</f>
        <v>0</v>
      </c>
      <c r="AN24" s="84">
        <f t="shared" si="22"/>
        <v>2</v>
      </c>
      <c r="AO24" s="84" t="str">
        <f t="shared" si="0"/>
        <v>Tjeckien</v>
      </c>
      <c r="AP24" s="84">
        <f t="shared" si="1"/>
        <v>0</v>
      </c>
      <c r="AQ24" s="84" t="str">
        <f t="shared" si="2"/>
        <v>Tjeckien</v>
      </c>
      <c r="AR24" s="84">
        <f t="shared" si="3"/>
        <v>0</v>
      </c>
      <c r="AS24" s="84" t="str">
        <f t="shared" si="4"/>
        <v>Polen</v>
      </c>
      <c r="AT24" s="84">
        <f t="shared" si="5"/>
        <v>0</v>
      </c>
      <c r="AU24" s="84" t="str">
        <f t="shared" si="6"/>
        <v>Polen</v>
      </c>
      <c r="AV24" s="84">
        <f t="shared" si="7"/>
        <v>0</v>
      </c>
      <c r="AW24" s="84" t="str">
        <f t="shared" si="8"/>
        <v/>
      </c>
      <c r="AX24" s="84" t="str">
        <f t="shared" si="9"/>
        <v/>
      </c>
      <c r="AY24" s="84" t="str">
        <f t="shared" si="10"/>
        <v/>
      </c>
      <c r="AZ24" s="84" t="str">
        <f t="shared" si="11"/>
        <v/>
      </c>
      <c r="BA24" s="84" t="str">
        <f t="shared" si="12"/>
        <v>Tjeckien</v>
      </c>
      <c r="BB24" s="84">
        <f t="shared" si="13"/>
        <v>0</v>
      </c>
      <c r="BC24" s="84" t="str">
        <f t="shared" si="14"/>
        <v>Tjeckien</v>
      </c>
      <c r="BD24" s="84">
        <f t="shared" si="15"/>
        <v>0</v>
      </c>
      <c r="BE24" s="84" t="str">
        <f t="shared" si="16"/>
        <v>Polen</v>
      </c>
      <c r="BF24" s="84">
        <f t="shared" si="17"/>
        <v>0</v>
      </c>
      <c r="BG24" s="84" t="str">
        <f t="shared" si="18"/>
        <v>Polen</v>
      </c>
      <c r="BH24" s="84">
        <f t="shared" si="19"/>
        <v>0</v>
      </c>
    </row>
    <row r="25" spans="1:60" ht="13.5" customHeight="1">
      <c r="A25" s="54" t="str">
        <f t="shared" ca="1" si="20"/>
        <v>17 jun</v>
      </c>
      <c r="B25" s="55" t="str">
        <f t="shared" si="21"/>
        <v>20:45</v>
      </c>
      <c r="C25" s="56" t="s">
        <v>1684</v>
      </c>
      <c r="D25" s="57" t="str">
        <f>T17</f>
        <v>Portugal</v>
      </c>
      <c r="E25" s="77"/>
      <c r="F25" s="77"/>
      <c r="G25" s="58" t="str">
        <f>T14</f>
        <v>Nederländerna</v>
      </c>
      <c r="H25" s="119" t="str">
        <f>$K$12</f>
        <v>Grupp B</v>
      </c>
      <c r="I25" s="120"/>
      <c r="K25" s="65"/>
      <c r="R25" s="84">
        <f ca="1">DATE(2012,6,17) + TIME(7,45,0) + GMT</f>
        <v>41077.864583333328</v>
      </c>
      <c r="X25" s="84">
        <f>1+MAX(X21:X24)</f>
        <v>1</v>
      </c>
      <c r="Z25" s="84">
        <f>1+MAX(Z21:Z24)</f>
        <v>1</v>
      </c>
      <c r="AA25" s="84">
        <f>1+MAX(AA21:AA24)-MIN(AA21:AA24)</f>
        <v>1</v>
      </c>
      <c r="AB25" s="92"/>
      <c r="AC25" s="84">
        <f>MAX(AC21:AC24)</f>
        <v>0</v>
      </c>
      <c r="AK25" s="84">
        <f>1+MAX(AK21:AK24)</f>
        <v>1</v>
      </c>
      <c r="AN25" s="84">
        <f t="shared" si="22"/>
        <v>2</v>
      </c>
      <c r="AO25" s="84" t="str">
        <f t="shared" si="0"/>
        <v>Portugal</v>
      </c>
      <c r="AP25" s="84">
        <f t="shared" si="1"/>
        <v>0</v>
      </c>
      <c r="AQ25" s="84" t="str">
        <f t="shared" si="2"/>
        <v>Portugal</v>
      </c>
      <c r="AR25" s="84">
        <f t="shared" si="3"/>
        <v>0</v>
      </c>
      <c r="AS25" s="84" t="str">
        <f t="shared" si="4"/>
        <v>Nederländerna</v>
      </c>
      <c r="AT25" s="84">
        <f t="shared" si="5"/>
        <v>0</v>
      </c>
      <c r="AU25" s="84" t="str">
        <f t="shared" si="6"/>
        <v>Nederländerna</v>
      </c>
      <c r="AV25" s="84">
        <f t="shared" si="7"/>
        <v>0</v>
      </c>
      <c r="AW25" s="84" t="str">
        <f t="shared" si="8"/>
        <v/>
      </c>
      <c r="AX25" s="84" t="str">
        <f t="shared" si="9"/>
        <v/>
      </c>
      <c r="AY25" s="84" t="str">
        <f t="shared" si="10"/>
        <v/>
      </c>
      <c r="AZ25" s="84" t="str">
        <f t="shared" si="11"/>
        <v/>
      </c>
      <c r="BA25" s="84" t="str">
        <f t="shared" si="12"/>
        <v>Portugal</v>
      </c>
      <c r="BB25" s="84">
        <f t="shared" si="13"/>
        <v>0</v>
      </c>
      <c r="BC25" s="84" t="str">
        <f t="shared" si="14"/>
        <v>Portugal</v>
      </c>
      <c r="BD25" s="84">
        <f t="shared" si="15"/>
        <v>0</v>
      </c>
      <c r="BE25" s="84" t="str">
        <f t="shared" si="16"/>
        <v>Nederländerna</v>
      </c>
      <c r="BF25" s="84">
        <f t="shared" si="17"/>
        <v>0</v>
      </c>
      <c r="BG25" s="84" t="str">
        <f t="shared" si="18"/>
        <v>Nederländerna</v>
      </c>
      <c r="BH25" s="84">
        <f t="shared" si="19"/>
        <v>0</v>
      </c>
    </row>
    <row r="26" spans="1:60" ht="13.5" customHeight="1">
      <c r="A26" s="54" t="str">
        <f t="shared" ca="1" si="20"/>
        <v>17 jun</v>
      </c>
      <c r="B26" s="55" t="str">
        <f t="shared" si="21"/>
        <v>20:45</v>
      </c>
      <c r="C26" s="56" t="s">
        <v>1685</v>
      </c>
      <c r="D26" s="57" t="str">
        <f>T15</f>
        <v>Danmark</v>
      </c>
      <c r="E26" s="77"/>
      <c r="F26" s="77"/>
      <c r="G26" s="58" t="str">
        <f>T16</f>
        <v>Tyskland</v>
      </c>
      <c r="H26" s="119" t="str">
        <f>$K$12</f>
        <v>Grupp B</v>
      </c>
      <c r="I26" s="120"/>
      <c r="K26" s="104" t="str">
        <f ca="1">INDEX(T,24,language) &amp; " D"</f>
        <v>Grupp D</v>
      </c>
      <c r="L26" s="95" t="str">
        <f ca="1">INDEX(T,19,language)</f>
        <v>V</v>
      </c>
      <c r="M26" s="95" t="str">
        <f ca="1">INDEX(T,20,language)</f>
        <v>O</v>
      </c>
      <c r="N26" s="95" t="str">
        <f ca="1">INDEX(T,21,language)</f>
        <v>F</v>
      </c>
      <c r="O26" s="95" t="str">
        <f ca="1">INDEX(T,22,language)</f>
        <v>Målsk</v>
      </c>
      <c r="P26" s="93" t="str">
        <f ca="1">INDEX(T,23,language)</f>
        <v>P</v>
      </c>
      <c r="R26" s="84">
        <f ca="1">DATE(2012,6,17) + TIME(7,45,0) + GMT</f>
        <v>41077.864583333328</v>
      </c>
      <c r="AA26" s="84">
        <f>MIN(AA21:AA24)</f>
        <v>0</v>
      </c>
      <c r="AB26" s="92"/>
      <c r="AN26" s="84">
        <f t="shared" si="22"/>
        <v>2</v>
      </c>
      <c r="AO26" s="84" t="str">
        <f t="shared" si="0"/>
        <v>Danmark</v>
      </c>
      <c r="AP26" s="84">
        <f t="shared" si="1"/>
        <v>0</v>
      </c>
      <c r="AQ26" s="84" t="str">
        <f t="shared" si="2"/>
        <v>Danmark</v>
      </c>
      <c r="AR26" s="84">
        <f t="shared" si="3"/>
        <v>0</v>
      </c>
      <c r="AS26" s="84" t="str">
        <f t="shared" si="4"/>
        <v>Tyskland</v>
      </c>
      <c r="AT26" s="84">
        <f t="shared" si="5"/>
        <v>0</v>
      </c>
      <c r="AU26" s="84" t="str">
        <f t="shared" si="6"/>
        <v>Tyskland</v>
      </c>
      <c r="AV26" s="84">
        <f t="shared" si="7"/>
        <v>0</v>
      </c>
      <c r="AW26" s="84" t="str">
        <f t="shared" si="8"/>
        <v/>
      </c>
      <c r="AX26" s="84" t="str">
        <f t="shared" si="9"/>
        <v/>
      </c>
      <c r="AY26" s="84" t="str">
        <f t="shared" si="10"/>
        <v/>
      </c>
      <c r="AZ26" s="84" t="str">
        <f t="shared" si="11"/>
        <v/>
      </c>
      <c r="BA26" s="84" t="str">
        <f t="shared" si="12"/>
        <v>Danmark</v>
      </c>
      <c r="BB26" s="84">
        <f t="shared" si="13"/>
        <v>0</v>
      </c>
      <c r="BC26" s="84" t="str">
        <f t="shared" si="14"/>
        <v>Danmark</v>
      </c>
      <c r="BD26" s="84">
        <f t="shared" si="15"/>
        <v>0</v>
      </c>
      <c r="BE26" s="84" t="str">
        <f t="shared" si="16"/>
        <v>Tyskland</v>
      </c>
      <c r="BF26" s="84">
        <f t="shared" si="17"/>
        <v>0</v>
      </c>
      <c r="BG26" s="84" t="str">
        <f t="shared" si="18"/>
        <v>Tyskland</v>
      </c>
      <c r="BH26" s="84">
        <f t="shared" si="19"/>
        <v>0</v>
      </c>
    </row>
    <row r="27" spans="1:60" ht="13.5" customHeight="1">
      <c r="A27" s="54" t="str">
        <f t="shared" ca="1" si="20"/>
        <v>18 jun</v>
      </c>
      <c r="B27" s="55" t="str">
        <f t="shared" si="21"/>
        <v>20:45</v>
      </c>
      <c r="C27" s="56" t="s">
        <v>1686</v>
      </c>
      <c r="D27" s="57" t="str">
        <f>T24</f>
        <v>Kroatien</v>
      </c>
      <c r="E27" s="77"/>
      <c r="F27" s="77"/>
      <c r="G27" s="58" t="str">
        <f>T21</f>
        <v>Spanien</v>
      </c>
      <c r="H27" s="119" t="str">
        <f>$K$19</f>
        <v>Grupp C</v>
      </c>
      <c r="I27" s="120"/>
      <c r="K27" s="110"/>
      <c r="L27" s="106"/>
      <c r="M27" s="106"/>
      <c r="N27" s="106"/>
      <c r="O27" s="106"/>
      <c r="P27" s="94"/>
      <c r="R27" s="84">
        <f ca="1">DATE(2012,6,18) + TIME(7,45,0) + GMT</f>
        <v>41078.864583333328</v>
      </c>
      <c r="AB27" s="92"/>
      <c r="AN27" s="84">
        <f t="shared" si="22"/>
        <v>2</v>
      </c>
      <c r="AO27" s="84" t="str">
        <f t="shared" si="0"/>
        <v>Kroatien</v>
      </c>
      <c r="AP27" s="84">
        <f t="shared" si="1"/>
        <v>0</v>
      </c>
      <c r="AQ27" s="84" t="str">
        <f t="shared" si="2"/>
        <v>Kroatien</v>
      </c>
      <c r="AR27" s="84">
        <f t="shared" si="3"/>
        <v>0</v>
      </c>
      <c r="AS27" s="84" t="str">
        <f t="shared" si="4"/>
        <v>Spanien</v>
      </c>
      <c r="AT27" s="84">
        <f t="shared" si="5"/>
        <v>0</v>
      </c>
      <c r="AU27" s="84" t="str">
        <f t="shared" si="6"/>
        <v>Spanien</v>
      </c>
      <c r="AV27" s="84">
        <f t="shared" si="7"/>
        <v>0</v>
      </c>
      <c r="AW27" s="84" t="str">
        <f t="shared" si="8"/>
        <v/>
      </c>
      <c r="AX27" s="84" t="str">
        <f t="shared" si="9"/>
        <v/>
      </c>
      <c r="AY27" s="84" t="str">
        <f t="shared" si="10"/>
        <v/>
      </c>
      <c r="AZ27" s="84" t="str">
        <f t="shared" si="11"/>
        <v/>
      </c>
      <c r="BA27" s="84" t="str">
        <f t="shared" si="12"/>
        <v>Kroatien</v>
      </c>
      <c r="BB27" s="84">
        <f t="shared" si="13"/>
        <v>0</v>
      </c>
      <c r="BC27" s="84" t="str">
        <f>IF(AN27=2,AQ27,"")</f>
        <v>Kroatien</v>
      </c>
      <c r="BD27" s="84">
        <f t="shared" si="15"/>
        <v>0</v>
      </c>
      <c r="BE27" s="84" t="str">
        <f t="shared" si="16"/>
        <v>Spanien</v>
      </c>
      <c r="BF27" s="84">
        <f t="shared" si="17"/>
        <v>0</v>
      </c>
      <c r="BG27" s="84" t="str">
        <f t="shared" si="18"/>
        <v>Spanien</v>
      </c>
      <c r="BH27" s="84">
        <f t="shared" si="19"/>
        <v>0</v>
      </c>
    </row>
    <row r="28" spans="1:60" ht="13.5" customHeight="1">
      <c r="A28" s="54" t="str">
        <f t="shared" ca="1" si="20"/>
        <v>18 jun</v>
      </c>
      <c r="B28" s="55" t="str">
        <f t="shared" si="21"/>
        <v>20:45</v>
      </c>
      <c r="C28" s="56" t="s">
        <v>1687</v>
      </c>
      <c r="D28" s="57" t="str">
        <f>T22</f>
        <v>Italien</v>
      </c>
      <c r="E28" s="77"/>
      <c r="F28" s="77"/>
      <c r="G28" s="58" t="str">
        <f>T23</f>
        <v>Irland</v>
      </c>
      <c r="H28" s="119" t="str">
        <f>$K$19</f>
        <v>Grupp C</v>
      </c>
      <c r="I28" s="120"/>
      <c r="K28" s="51" t="str">
        <f>VLOOKUP(4,S28:Z31,2,FALSE)</f>
        <v>England</v>
      </c>
      <c r="L28" s="52">
        <f>VLOOKUP(4,S28:Z31,3,FALSE)</f>
        <v>0</v>
      </c>
      <c r="M28" s="52">
        <f>VLOOKUP(4,S28:Z31,4,FALSE)</f>
        <v>0</v>
      </c>
      <c r="N28" s="52">
        <f>VLOOKUP(4,S28:Z31,5,FALSE)</f>
        <v>0</v>
      </c>
      <c r="O28" s="52" t="str">
        <f>CONCATENATE(VLOOKUP(4,S28:Z31,6,FALSE)," - ",VLOOKUP(4,S28:Z31,7,FALSE))</f>
        <v>0 - 0</v>
      </c>
      <c r="P28" s="53">
        <f>VLOOKUP(4,S28:Z31,8,FALSE)</f>
        <v>0</v>
      </c>
      <c r="R28" s="84">
        <f ca="1">DATE(2012,6,18) + TIME(7,45,0) + GMT</f>
        <v>41078.864583333328</v>
      </c>
      <c r="S28" s="84">
        <f>IF(AB28&gt;AB28,1,0)+IF(AB28&gt;AB29,1,0)+IF(AB28&gt;AB30,1,0)+IF(AB28&gt;AB31,1,0)+1</f>
        <v>4</v>
      </c>
      <c r="T28" s="84" t="str">
        <f ca="1">INDEX(T,6,language)</f>
        <v>England</v>
      </c>
      <c r="U28" s="84">
        <f>COUNTIF(AW7:AX30,CONCATENATE(T28,"_win"))</f>
        <v>0</v>
      </c>
      <c r="V28" s="84">
        <f>COUNTIF(AW7:AX30,CONCATENATE(T28,"_draw"))</f>
        <v>0</v>
      </c>
      <c r="W28" s="84">
        <f>COUNTIF(AW7:AX30,CONCATENATE(T28,"_lose"))</f>
        <v>0</v>
      </c>
      <c r="X28" s="84">
        <f>SUMIF(AS7:AS30,CONCATENATE("=",T28),AT7:AT30)+SUMIF(AO7:AO30,CONCATENATE("=",T28),AP7:AP30)</f>
        <v>0</v>
      </c>
      <c r="Y28" s="84">
        <f>SUMIF(AU7:AU30,CONCATENATE("=",T28),AV7:AV30)+SUMIF(AQ7:AQ30,CONCATENATE("=",T28),AR7:AR30)</f>
        <v>0</v>
      </c>
      <c r="Z28" s="84">
        <f>U28*3+V28</f>
        <v>0</v>
      </c>
      <c r="AA28" s="84">
        <f>X28-Y28</f>
        <v>0</v>
      </c>
      <c r="AB28" s="92">
        <f ca="1">VLOOKUP(T28,team_rnk,2,FALSE)/5000/1000 + Z28/Z32*1000+AL28*100+AA28/AA32*10+X28/X32</f>
        <v>1.6306999999999999E-2</v>
      </c>
      <c r="AC28" s="84">
        <f>IF(COUNTIF(Z28:Z31,Z28)&gt;1,Z28,0)</f>
        <v>0</v>
      </c>
      <c r="AD28" s="84">
        <v>0</v>
      </c>
      <c r="AE28" s="84" t="str">
        <f ca="1">IF(SUM(U28:W31)=12,VLOOKUP(4,S28:T31,2,FALSE),INDEX(T,38,language))</f>
        <v>Vinnare grupp D</v>
      </c>
      <c r="AF28" s="84">
        <f>IF(AC28=AC32,Z28,IF(AC29=AC32,Z29,IF(AC30=AC32,Z30,Z31)))</f>
        <v>0</v>
      </c>
      <c r="AG28" s="84">
        <f>IF(Z28=AF28,1,0)</f>
        <v>1</v>
      </c>
      <c r="AH28" s="84">
        <f>COUNTIF(AY7:AZ30,CONCATENATE(T28,"_win"))</f>
        <v>0</v>
      </c>
      <c r="AI28" s="84">
        <f>SUMIF(BE7:BE30,CONCATENATE("=",T28),BF7:BF30)+SUMIF(BA7:BA30,CONCATENATE("=",T28),BB7:BB30)</f>
        <v>0</v>
      </c>
      <c r="AJ28" s="84">
        <f>SUMIF(BG7:BG30,CONCATENATE("=",T28),BH7:BH30)+SUMIF(BC7:BC30,CONCATENATE("=",T28),BD7:BD30)</f>
        <v>0</v>
      </c>
      <c r="AK28" s="84">
        <f>300*AH28+(AI28-AJ28)*10+AI28</f>
        <v>0</v>
      </c>
      <c r="AL28" s="84">
        <f>IF(AK28&gt;0,AK28/AK32,0)</f>
        <v>0</v>
      </c>
      <c r="AN28" s="84">
        <f t="shared" si="22"/>
        <v>2</v>
      </c>
      <c r="AO28" s="84" t="str">
        <f t="shared" si="0"/>
        <v>Italien</v>
      </c>
      <c r="AP28" s="84">
        <f t="shared" si="1"/>
        <v>0</v>
      </c>
      <c r="AQ28" s="84" t="str">
        <f t="shared" si="2"/>
        <v>Italien</v>
      </c>
      <c r="AR28" s="84">
        <f t="shared" si="3"/>
        <v>0</v>
      </c>
      <c r="AS28" s="84" t="str">
        <f t="shared" si="4"/>
        <v>Irland</v>
      </c>
      <c r="AT28" s="84">
        <f t="shared" si="5"/>
        <v>0</v>
      </c>
      <c r="AU28" s="84" t="str">
        <f t="shared" si="6"/>
        <v>Irland</v>
      </c>
      <c r="AV28" s="84">
        <f t="shared" si="7"/>
        <v>0</v>
      </c>
      <c r="AW28" s="84" t="str">
        <f t="shared" si="8"/>
        <v/>
      </c>
      <c r="AX28" s="84" t="str">
        <f t="shared" si="9"/>
        <v/>
      </c>
      <c r="AY28" s="84" t="str">
        <f t="shared" si="10"/>
        <v/>
      </c>
      <c r="AZ28" s="84" t="str">
        <f t="shared" si="11"/>
        <v/>
      </c>
      <c r="BA28" s="84" t="str">
        <f t="shared" si="12"/>
        <v>Italien</v>
      </c>
      <c r="BB28" s="84">
        <f t="shared" si="13"/>
        <v>0</v>
      </c>
      <c r="BC28" s="84" t="str">
        <f t="shared" si="14"/>
        <v>Italien</v>
      </c>
      <c r="BD28" s="84">
        <f t="shared" si="15"/>
        <v>0</v>
      </c>
      <c r="BE28" s="84" t="str">
        <f t="shared" si="16"/>
        <v>Irland</v>
      </c>
      <c r="BF28" s="84">
        <f t="shared" si="17"/>
        <v>0</v>
      </c>
      <c r="BG28" s="84" t="str">
        <f t="shared" si="18"/>
        <v>Irland</v>
      </c>
      <c r="BH28" s="84">
        <f t="shared" si="19"/>
        <v>0</v>
      </c>
    </row>
    <row r="29" spans="1:60" ht="13.5" customHeight="1">
      <c r="A29" s="54" t="str">
        <f t="shared" ca="1" si="20"/>
        <v>19 jun</v>
      </c>
      <c r="B29" s="55" t="str">
        <f t="shared" si="21"/>
        <v>20:45</v>
      </c>
      <c r="C29" s="56" t="s">
        <v>1689</v>
      </c>
      <c r="D29" s="57" t="str">
        <f>T30</f>
        <v>Sverige</v>
      </c>
      <c r="E29" s="77"/>
      <c r="F29" s="77"/>
      <c r="G29" s="58" t="str">
        <f>T29</f>
        <v>Frankrike</v>
      </c>
      <c r="H29" s="119" t="str">
        <f>$K$26</f>
        <v>Grupp D</v>
      </c>
      <c r="I29" s="120"/>
      <c r="K29" s="59" t="str">
        <f>VLOOKUP(3,S28:Z31,2,FALSE)</f>
        <v>Frankrike</v>
      </c>
      <c r="L29" s="60">
        <f>VLOOKUP(3,S28:Z31,3,FALSE)</f>
        <v>0</v>
      </c>
      <c r="M29" s="60">
        <f>VLOOKUP(3,S28:Z31,4,FALSE)</f>
        <v>0</v>
      </c>
      <c r="N29" s="60">
        <f>VLOOKUP(3,S28:Z31,5,FALSE)</f>
        <v>0</v>
      </c>
      <c r="O29" s="60" t="str">
        <f>CONCATENATE(VLOOKUP(3,S28:Z31,6,FALSE)," - ",VLOOKUP(3,S28:Z31,7,FALSE))</f>
        <v>0 - 0</v>
      </c>
      <c r="P29" s="61">
        <f>VLOOKUP(3,S28:Z31,8,FALSE)</f>
        <v>0</v>
      </c>
      <c r="R29" s="84">
        <f ca="1">DATE(2012,6,19) + TIME(7,45,0) + GMT</f>
        <v>41079.864583333328</v>
      </c>
      <c r="S29" s="84">
        <f>IF(AB29&gt;AB28,1,0)+IF(AB29&gt;AB29,1,0)+IF(AB29&gt;AB30,1,0)+IF(AB29&gt;AB31,1,0)+1</f>
        <v>3</v>
      </c>
      <c r="T29" s="84" t="str">
        <f ca="1">INDEX(T,7,language)</f>
        <v>Frankrike</v>
      </c>
      <c r="U29" s="84">
        <f>COUNTIF(AW7:AX30,CONCATENATE(T29,"_win"))</f>
        <v>0</v>
      </c>
      <c r="V29" s="84">
        <f>COUNTIF(AW7:AX30,CONCATENATE(T29,"_draw"))</f>
        <v>0</v>
      </c>
      <c r="W29" s="84">
        <f>COUNTIF(AW7:AX30,CONCATENATE(T29,"_lose"))</f>
        <v>0</v>
      </c>
      <c r="X29" s="84">
        <f>SUMIF(AS7:AS30,CONCATENATE("=",T29),AT7:AT30)+SUMIF(AO7:AO30,CONCATENATE("=",T29),AP7:AP30)</f>
        <v>0</v>
      </c>
      <c r="Y29" s="84">
        <f>SUMIF(AU7:AU30,CONCATENATE("=",T29),AV7:AV30)+SUMIF(AQ7:AQ30,CONCATENATE("=",T29),AR7:AR30)</f>
        <v>0</v>
      </c>
      <c r="Z29" s="84">
        <f>U29*3+V29</f>
        <v>0</v>
      </c>
      <c r="AA29" s="84">
        <f>X29-Y29</f>
        <v>0</v>
      </c>
      <c r="AB29" s="92">
        <f ca="1">VLOOKUP(T29,team_rnk,2,FALSE)/5000/1000 + Z29/Z32*1000+AL29*100+AA29/AA32*10+X29/X32</f>
        <v>1.0668799999999999E-2</v>
      </c>
      <c r="AC29" s="84">
        <f>IF(COUNTIF(Z28:Z31,Z29)&gt;1,Z29,0)</f>
        <v>0</v>
      </c>
      <c r="AD29" s="84">
        <v>0</v>
      </c>
      <c r="AE29" s="84" t="str">
        <f ca="1">IF(SUM(U28:W31)=12,VLOOKUP(3,S28:T31,2,FALSE),INDEX(T,39,language))</f>
        <v>Tvåa grupp D</v>
      </c>
      <c r="AG29" s="84">
        <f>IF(Z29=AF28,1,0)</f>
        <v>1</v>
      </c>
      <c r="AH29" s="84">
        <f>COUNTIF(AY7:AZ30,CONCATENATE(T29,"_win"))</f>
        <v>0</v>
      </c>
      <c r="AI29" s="84">
        <f>SUMIF(BE7:BE30,CONCATENATE("=",T29),BF7:BF30)+SUMIF(BA7:BA30,CONCATENATE("=",T29),BB7:BB30)</f>
        <v>0</v>
      </c>
      <c r="AJ29" s="84">
        <f>SUMIF(BG7:BG30,CONCATENATE("=",T29),BH7:BH30)+SUMIF(BC7:BC30,CONCATENATE("=",T29),BD7:BD30)</f>
        <v>0</v>
      </c>
      <c r="AK29" s="84">
        <f>300*AH29+(AI29-AJ29)*10+AI29</f>
        <v>0</v>
      </c>
      <c r="AL29" s="84">
        <f>IF(AK29&gt;0,AK29/AK32,0)</f>
        <v>0</v>
      </c>
      <c r="AN29" s="84">
        <f t="shared" si="22"/>
        <v>2</v>
      </c>
      <c r="AO29" s="84" t="str">
        <f t="shared" si="0"/>
        <v>Sverige</v>
      </c>
      <c r="AP29" s="84">
        <f t="shared" si="1"/>
        <v>0</v>
      </c>
      <c r="AQ29" s="84" t="str">
        <f t="shared" si="2"/>
        <v>Sverige</v>
      </c>
      <c r="AR29" s="84">
        <f t="shared" si="3"/>
        <v>0</v>
      </c>
      <c r="AS29" s="84" t="str">
        <f t="shared" si="4"/>
        <v>Frankrike</v>
      </c>
      <c r="AT29" s="84">
        <f t="shared" si="5"/>
        <v>0</v>
      </c>
      <c r="AU29" s="84" t="str">
        <f t="shared" si="6"/>
        <v>Frankrike</v>
      </c>
      <c r="AV29" s="84">
        <f t="shared" si="7"/>
        <v>0</v>
      </c>
      <c r="AW29" s="84" t="str">
        <f t="shared" si="8"/>
        <v/>
      </c>
      <c r="AX29" s="84" t="str">
        <f t="shared" si="9"/>
        <v/>
      </c>
      <c r="AY29" s="84" t="str">
        <f t="shared" si="10"/>
        <v/>
      </c>
      <c r="AZ29" s="84" t="str">
        <f t="shared" si="11"/>
        <v/>
      </c>
      <c r="BA29" s="84" t="str">
        <f t="shared" si="12"/>
        <v>Sverige</v>
      </c>
      <c r="BB29" s="84">
        <f t="shared" si="13"/>
        <v>0</v>
      </c>
      <c r="BC29" s="84" t="str">
        <f t="shared" si="14"/>
        <v>Sverige</v>
      </c>
      <c r="BD29" s="84">
        <f t="shared" si="15"/>
        <v>0</v>
      </c>
      <c r="BE29" s="84" t="str">
        <f t="shared" si="16"/>
        <v>Frankrike</v>
      </c>
      <c r="BF29" s="84">
        <f t="shared" si="17"/>
        <v>0</v>
      </c>
      <c r="BG29" s="84" t="str">
        <f t="shared" si="18"/>
        <v>Frankrike</v>
      </c>
      <c r="BH29" s="84">
        <f t="shared" si="19"/>
        <v>0</v>
      </c>
    </row>
    <row r="30" spans="1:60" ht="13.5" customHeight="1">
      <c r="A30" s="66" t="str">
        <f t="shared" ca="1" si="20"/>
        <v>19 jun</v>
      </c>
      <c r="B30" s="67" t="str">
        <f t="shared" si="21"/>
        <v>20:45</v>
      </c>
      <c r="C30" s="68" t="s">
        <v>1688</v>
      </c>
      <c r="D30" s="69" t="str">
        <f>T28</f>
        <v>England</v>
      </c>
      <c r="E30" s="78"/>
      <c r="F30" s="78"/>
      <c r="G30" s="70" t="str">
        <f>T31</f>
        <v>Ukraina</v>
      </c>
      <c r="H30" s="132" t="str">
        <f>$K$26</f>
        <v>Grupp D</v>
      </c>
      <c r="I30" s="133"/>
      <c r="K30" s="59" t="str">
        <f>VLOOKUP(2,S28:Z31,2,FALSE)</f>
        <v>Ukraina</v>
      </c>
      <c r="L30" s="60">
        <f>VLOOKUP(2,S28:Z31,3,FALSE)</f>
        <v>0</v>
      </c>
      <c r="M30" s="60">
        <f>VLOOKUP(2,S28:Z31,4,FALSE)</f>
        <v>0</v>
      </c>
      <c r="N30" s="60">
        <f>VLOOKUP(2,S28:Z31,5,FALSE)</f>
        <v>0</v>
      </c>
      <c r="O30" s="60" t="str">
        <f>CONCATENATE(VLOOKUP(2,S28:Z31,6,FALSE)," - ",VLOOKUP(2,S28:Z31,7,FALSE))</f>
        <v>0 - 0</v>
      </c>
      <c r="P30" s="61">
        <f>VLOOKUP(2,S28:Z31,8,FALSE)</f>
        <v>0</v>
      </c>
      <c r="R30" s="84">
        <f ca="1">DATE(2012,6,19) + TIME(7,45,0) + GMT</f>
        <v>41079.864583333328</v>
      </c>
      <c r="S30" s="84">
        <f>IF(AB30&gt;AB28,1,0)+IF(AB30&gt;AB29,1,0)+IF(AB30&gt;AB30,1,0)+IF(AB30&gt;AB31,1,0)+1</f>
        <v>1</v>
      </c>
      <c r="T30" s="84" t="str">
        <f ca="1">INDEX(T,17,language)</f>
        <v>Sverige</v>
      </c>
      <c r="U30" s="84">
        <f>COUNTIF(AW7:AX30,CONCATENATE(T30,"_win"))</f>
        <v>0</v>
      </c>
      <c r="V30" s="84">
        <f>COUNTIF(AW7:AX30,CONCATENATE(T30,"_draw"))</f>
        <v>0</v>
      </c>
      <c r="W30" s="84">
        <f>COUNTIF(AW7:AX30,CONCATENATE(T30,"_lose"))</f>
        <v>0</v>
      </c>
      <c r="X30" s="84">
        <f>SUMIF(AS7:AS30,CONCATENATE("=",T30),AT7:AT30)+SUMIF(AO7:AO30,CONCATENATE("=",T30),AP7:AP30)</f>
        <v>0</v>
      </c>
      <c r="Y30" s="84">
        <f>SUMIF(AU7:AU30,CONCATENATE("=",T30),AV7:AV30)+SUMIF(AQ7:AQ30,CONCATENATE("=",T30),AR7:AR30)</f>
        <v>0</v>
      </c>
      <c r="Z30" s="84">
        <f>U30*3+V30</f>
        <v>0</v>
      </c>
      <c r="AA30" s="84">
        <f>X30-Y30</f>
        <v>0</v>
      </c>
      <c r="AB30" s="92">
        <f ca="1">VLOOKUP(T30,team_rnk,2,FALSE)/5000/1000 + Z30/Z32*1000+AL30*100+AA30/AA32*10+X30/X32</f>
        <v>3.1800000000000001E-3</v>
      </c>
      <c r="AC30" s="84">
        <f>IF(COUNTIF(Z28:Z31,Z30)&gt;1,Z30,0)</f>
        <v>0</v>
      </c>
      <c r="AD30" s="84">
        <v>0</v>
      </c>
      <c r="AG30" s="84">
        <f>IF(Z30=AF28,1,0)</f>
        <v>1</v>
      </c>
      <c r="AH30" s="84">
        <f>COUNTIF(AY7:AZ30,CONCATENATE(T30,"_win"))</f>
        <v>0</v>
      </c>
      <c r="AI30" s="84">
        <f>SUMIF(BE7:BE30,CONCATENATE("=",T30),BF7:BF30)+SUMIF(BA7:BA30,CONCATENATE("=",T30),BB7:BB30)</f>
        <v>0</v>
      </c>
      <c r="AJ30" s="84">
        <f>SUMIF(BG7:BG30,CONCATENATE("=",T30),BH7:BH30)+SUMIF(BC7:BC30,CONCATENATE("=",T30),BD7:BD30)</f>
        <v>0</v>
      </c>
      <c r="AK30" s="84">
        <f>300*AH30+(AI30-AJ30)*10+AI30</f>
        <v>0</v>
      </c>
      <c r="AL30" s="84">
        <f>IF(AK30&gt;0,AK30/AK32,0)</f>
        <v>0</v>
      </c>
      <c r="AN30" s="84">
        <f t="shared" si="22"/>
        <v>2</v>
      </c>
      <c r="AO30" s="84" t="str">
        <f t="shared" si="0"/>
        <v>England</v>
      </c>
      <c r="AP30" s="84">
        <f t="shared" si="1"/>
        <v>0</v>
      </c>
      <c r="AQ30" s="84" t="str">
        <f t="shared" si="2"/>
        <v>England</v>
      </c>
      <c r="AR30" s="84">
        <f t="shared" si="3"/>
        <v>0</v>
      </c>
      <c r="AS30" s="84" t="str">
        <f t="shared" si="4"/>
        <v>Ukraina</v>
      </c>
      <c r="AT30" s="84">
        <f t="shared" si="5"/>
        <v>0</v>
      </c>
      <c r="AU30" s="84" t="str">
        <f t="shared" si="6"/>
        <v>Ukraina</v>
      </c>
      <c r="AV30" s="84">
        <f t="shared" si="7"/>
        <v>0</v>
      </c>
      <c r="AW30" s="84" t="str">
        <f t="shared" si="8"/>
        <v/>
      </c>
      <c r="AX30" s="84" t="str">
        <f t="shared" si="9"/>
        <v/>
      </c>
      <c r="AY30" s="84" t="str">
        <f t="shared" si="10"/>
        <v/>
      </c>
      <c r="AZ30" s="84" t="str">
        <f t="shared" si="11"/>
        <v/>
      </c>
      <c r="BA30" s="84" t="str">
        <f t="shared" si="12"/>
        <v>England</v>
      </c>
      <c r="BB30" s="84">
        <f t="shared" si="13"/>
        <v>0</v>
      </c>
      <c r="BC30" s="84" t="str">
        <f t="shared" si="14"/>
        <v>England</v>
      </c>
      <c r="BD30" s="84">
        <f t="shared" si="15"/>
        <v>0</v>
      </c>
      <c r="BE30" s="84" t="str">
        <f t="shared" si="16"/>
        <v>Ukraina</v>
      </c>
      <c r="BF30" s="84">
        <f t="shared" si="17"/>
        <v>0</v>
      </c>
      <c r="BG30" s="84" t="str">
        <f t="shared" si="18"/>
        <v>Ukraina</v>
      </c>
      <c r="BH30" s="84">
        <f t="shared" si="19"/>
        <v>0</v>
      </c>
    </row>
    <row r="31" spans="1:60" ht="13.5" customHeight="1">
      <c r="K31" s="62" t="str">
        <f>VLOOKUP(1,S28:Z31,2,FALSE)</f>
        <v>Sverige</v>
      </c>
      <c r="L31" s="63">
        <f>VLOOKUP(1,S28:Z31,3,FALSE)</f>
        <v>0</v>
      </c>
      <c r="M31" s="63">
        <f>VLOOKUP(1,S28:Z31,4,FALSE)</f>
        <v>0</v>
      </c>
      <c r="N31" s="63">
        <f>VLOOKUP(1,S28:Z31,5,FALSE)</f>
        <v>0</v>
      </c>
      <c r="O31" s="63" t="str">
        <f>CONCATENATE(VLOOKUP(1,S28:Z31,6,FALSE)," - ",VLOOKUP(1,S28:Z31,7,FALSE))</f>
        <v>0 - 0</v>
      </c>
      <c r="P31" s="64">
        <f>VLOOKUP(1,S28:Z31,8,FALSE)</f>
        <v>0</v>
      </c>
      <c r="S31" s="84">
        <f>IF(AB31&gt;AB28,1,0)+IF(AB31&gt;AB29,1,0)+IF(AB31&gt;AB30,1,0)+IF(AB31&gt;AB31,1,0)+1</f>
        <v>2</v>
      </c>
      <c r="T31" s="84" t="str">
        <f ca="1">INDEX(T,18,language)</f>
        <v>Ukraina</v>
      </c>
      <c r="U31" s="84">
        <f>COUNTIF(AW7:AX30,CONCATENATE(T31,"_win"))</f>
        <v>0</v>
      </c>
      <c r="V31" s="84">
        <f>COUNTIF(AW7:AX30,CONCATENATE(T31,"_draw"))</f>
        <v>0</v>
      </c>
      <c r="W31" s="84">
        <f>COUNTIF(AW7:AX30,CONCATENATE(T31,"_lose"))</f>
        <v>0</v>
      </c>
      <c r="X31" s="84">
        <f>SUMIF(AS7:AS30,CONCATENATE("=",T31),AT7:AT30)+SUMIF(AO7:AO30,CONCATENATE("=",T31),AP7:AP30)</f>
        <v>0</v>
      </c>
      <c r="Y31" s="84">
        <f>SUMIF(AU7:AU30,CONCATENATE("=",T31),AV7:AV30)+SUMIF(AQ7:AQ30,CONCATENATE("=",T31),AR7:AR30)</f>
        <v>0</v>
      </c>
      <c r="Z31" s="84">
        <f>U31*3+V31</f>
        <v>0</v>
      </c>
      <c r="AA31" s="84">
        <f>X31-Y31</f>
        <v>0</v>
      </c>
      <c r="AB31" s="92">
        <f ca="1">VLOOKUP(T31,team_rnk,2,FALSE)/5000/1000 + Z31/Z32*1000+AL31*100+AA31/AA32*10+X31/X32</f>
        <v>8.7597999999999999E-3</v>
      </c>
      <c r="AC31" s="84">
        <f>IF(COUNTIF(Z28:Z31,Z31)&gt;1,Z31,0)</f>
        <v>0</v>
      </c>
      <c r="AD31" s="84">
        <v>0</v>
      </c>
      <c r="AG31" s="84">
        <f>IF(Z31=AF28,1,0)</f>
        <v>1</v>
      </c>
      <c r="AH31" s="84">
        <f>COUNTIF(AY7:AZ30,CONCATENATE(T31,"_win"))</f>
        <v>0</v>
      </c>
      <c r="AI31" s="84">
        <f>SUMIF(BE7:BE30,CONCATENATE("=",T31),BF7:BF30)+SUMIF(BA7:BA30,CONCATENATE("=",T31),BB7:BB30)</f>
        <v>0</v>
      </c>
      <c r="AJ31" s="84">
        <f>SUMIF(BG7:BG30,CONCATENATE("=",T31),BH7:BH30)+SUMIF(BC7:BC30,CONCATENATE("=",T31),BD7:BD30)</f>
        <v>0</v>
      </c>
      <c r="AK31" s="84">
        <f>300*AH31+(AI31-AJ31)*10+AI31</f>
        <v>0</v>
      </c>
      <c r="AL31" s="84">
        <f>IF(AK31&gt;0,AK31/AK32,0)</f>
        <v>0</v>
      </c>
    </row>
    <row r="32" spans="1:60" ht="13.5" customHeight="1">
      <c r="X32" s="84">
        <f>1+MAX(X28:X31)</f>
        <v>1</v>
      </c>
      <c r="Z32" s="84">
        <f>1+MAX(Z28:Z31)</f>
        <v>1</v>
      </c>
      <c r="AA32" s="84">
        <f>1+MAX(AA28:AA31)-MIN(AA28:AA31)</f>
        <v>1</v>
      </c>
      <c r="AB32" s="92"/>
      <c r="AC32" s="84">
        <f>MAX(AC28:AC31)</f>
        <v>0</v>
      </c>
      <c r="AK32" s="84">
        <f>1+MAX(AK28:AK31)</f>
        <v>1</v>
      </c>
    </row>
    <row r="33" spans="1:46" ht="13.5" customHeight="1">
      <c r="B33" s="113" t="s">
        <v>1743</v>
      </c>
      <c r="C33" s="114"/>
      <c r="D33" s="115"/>
      <c r="F33" s="113" t="s">
        <v>1742</v>
      </c>
      <c r="G33" s="114"/>
      <c r="H33" s="115"/>
      <c r="K33" s="126" t="s">
        <v>1745</v>
      </c>
      <c r="L33" s="127"/>
      <c r="M33" s="127"/>
      <c r="N33" s="127"/>
      <c r="O33" s="127"/>
      <c r="P33" s="128"/>
      <c r="AA33" s="84">
        <f>MIN(AA28:AA31)</f>
        <v>0</v>
      </c>
      <c r="AB33" s="92"/>
    </row>
    <row r="34" spans="1:46" ht="13.5" customHeight="1">
      <c r="B34" s="116"/>
      <c r="C34" s="117"/>
      <c r="D34" s="118"/>
      <c r="F34" s="116"/>
      <c r="G34" s="117"/>
      <c r="H34" s="118"/>
      <c r="K34" s="129"/>
      <c r="L34" s="130"/>
      <c r="M34" s="130"/>
      <c r="N34" s="130"/>
      <c r="O34" s="130"/>
      <c r="P34" s="131"/>
      <c r="AP34" s="84" t="str">
        <f>IF(E34="","",IF(F34="","",IF(E34&gt;F34,D34,IF(E34&lt;F34,G34,AQ34))))</f>
        <v/>
      </c>
      <c r="AQ34" s="84" t="str">
        <f>IF(H34="","",IF(I34="","",IF(H34&gt;I34,D34,IF(H34&lt;I34,G34,""))))</f>
        <v/>
      </c>
    </row>
    <row r="35" spans="1:46" ht="6" customHeight="1">
      <c r="AP35" s="84" t="str">
        <f>IF(E35="","",IF(F35="","",IF(E35&gt;F35,D35,IF(E35&lt;F35,G35,AQ35))))</f>
        <v/>
      </c>
      <c r="AQ35" s="84" t="str">
        <f>IF(H35="","",IF(I35="","",IF(H35&gt;I35,D35,IF(H35&lt;I35,G35,""))))</f>
        <v/>
      </c>
    </row>
    <row r="36" spans="1:46" ht="13.5" customHeight="1">
      <c r="A36" s="40"/>
      <c r="B36" s="41"/>
      <c r="C36" s="41"/>
      <c r="D36" s="100" t="str">
        <f ca="1">INDEX(T,27,language)</f>
        <v>Kvartsfinaler</v>
      </c>
      <c r="E36" s="100"/>
      <c r="F36" s="100"/>
      <c r="G36" s="100"/>
      <c r="H36" s="41"/>
      <c r="I36" s="42"/>
    </row>
    <row r="37" spans="1:46" ht="13.5" customHeight="1">
      <c r="A37" s="43"/>
      <c r="B37" s="44"/>
      <c r="C37" s="44"/>
      <c r="D37" s="101"/>
      <c r="E37" s="101"/>
      <c r="F37" s="101"/>
      <c r="G37" s="101"/>
      <c r="H37" s="44"/>
      <c r="I37" s="45"/>
    </row>
    <row r="38" spans="1:46" ht="13.5" customHeight="1">
      <c r="A38" s="46" t="str">
        <f ca="1">DAY(R38) &amp; " " &amp; INDEX(T,47+MONTH(R38),language)</f>
        <v>21 jun</v>
      </c>
      <c r="B38" s="47" t="str">
        <f>TEXT(HOUR(R38),"00")&amp;":"&amp;TEXT(MINUTE(R38),"00")</f>
        <v>20:45</v>
      </c>
      <c r="C38" s="48" t="s">
        <v>1682</v>
      </c>
      <c r="D38" s="49" t="str">
        <f>AE7</f>
        <v>Vinnare grupp A</v>
      </c>
      <c r="E38" s="76"/>
      <c r="F38" s="76"/>
      <c r="G38" s="50" t="str">
        <f>AE15</f>
        <v>Tvåa grupp B</v>
      </c>
      <c r="H38" s="76"/>
      <c r="I38" s="79"/>
      <c r="R38" s="84">
        <f ca="1">DATE(2012,6,21) + TIME(7,45,0) + GMT</f>
        <v>41081.864583333328</v>
      </c>
      <c r="AO38" s="84" t="str">
        <f ca="1">IF(AP38="",INDEX(T,40,language),AP38)</f>
        <v>Segrare kvartsfinal 1</v>
      </c>
      <c r="AP38" s="84" t="str">
        <f>IF(E38="","",IF(F38="","",IF(E38&gt;F38,D38,IF(E38&lt;F38,G38,AQ38))))</f>
        <v/>
      </c>
      <c r="AQ38" s="84" t="str">
        <f>IF(H38="","",IF(I38="","",IF(H38&gt;I38,D38,IF(H38&lt;I38,G38,""))))</f>
        <v/>
      </c>
    </row>
    <row r="39" spans="1:46" ht="13.5" customHeight="1">
      <c r="A39" s="54" t="str">
        <f ca="1">DAY(R39) &amp; " " &amp; INDEX(T,47+MONTH(R39),language)</f>
        <v>22 jun</v>
      </c>
      <c r="B39" s="55" t="str">
        <f>TEXT(HOUR(R39),"00")&amp;":"&amp;TEXT(MINUTE(R39),"00")</f>
        <v>20:45</v>
      </c>
      <c r="C39" s="56" t="s">
        <v>1686</v>
      </c>
      <c r="D39" s="57" t="str">
        <f>AE14</f>
        <v>Vinnare grupp B</v>
      </c>
      <c r="E39" s="77"/>
      <c r="F39" s="77"/>
      <c r="G39" s="58" t="str">
        <f>AE8</f>
        <v>Tvåa grupp A</v>
      </c>
      <c r="H39" s="77"/>
      <c r="I39" s="80"/>
      <c r="R39" s="84">
        <f ca="1">DATE(2012,6,22) + TIME(7,45,0) + GMT</f>
        <v>41082.864583333328</v>
      </c>
      <c r="AO39" s="84" t="str">
        <f ca="1">IF(AP39="",INDEX(T,41,language),AP39)</f>
        <v>Segrare kvartsfinal 2</v>
      </c>
      <c r="AP39" s="84" t="str">
        <f>IF(E39="","",IF(F39="","",IF(E39&gt;F39,D39,IF(E39&lt;F39,G39,AQ39))))</f>
        <v/>
      </c>
      <c r="AQ39" s="84" t="str">
        <f>IF(H39="","",IF(I39="","",IF(H39&gt;I39,D39,IF(H39&lt;I39,G39,""))))</f>
        <v/>
      </c>
    </row>
    <row r="40" spans="1:46" ht="13.5" customHeight="1">
      <c r="A40" s="54" t="str">
        <f ca="1">DAY(R40) &amp; " " &amp; INDEX(T,47+MONTH(R40),language)</f>
        <v>23 jun</v>
      </c>
      <c r="B40" s="55" t="str">
        <f>TEXT(HOUR(R40),"00")&amp;":"&amp;TEXT(MINUTE(R40),"00")</f>
        <v>20:45</v>
      </c>
      <c r="C40" s="56" t="s">
        <v>1688</v>
      </c>
      <c r="D40" s="57" t="str">
        <f>AE21</f>
        <v>Vinnare grupp C</v>
      </c>
      <c r="E40" s="77"/>
      <c r="F40" s="77"/>
      <c r="G40" s="58" t="str">
        <f>AE29</f>
        <v>Tvåa grupp D</v>
      </c>
      <c r="H40" s="77"/>
      <c r="I40" s="80"/>
      <c r="R40" s="84">
        <f ca="1">DATE(2012,6,23) + TIME(7,45,0) + GMT</f>
        <v>41083.864583333328</v>
      </c>
      <c r="AO40" s="84" t="str">
        <f ca="1">IF(AP40="",INDEX(T,42,language),AP40)</f>
        <v>Segrare kvartsfinal 3</v>
      </c>
      <c r="AP40" s="84" t="str">
        <f>IF(E40="","",IF(F40="","",IF(E40&gt;F40,D40,IF(E40&lt;F40,G40,AQ40))))</f>
        <v/>
      </c>
      <c r="AQ40" s="84" t="str">
        <f>IF(H40="","",IF(I40="","",IF(H40&gt;I40,D40,IF(H40&lt;I40,G40,""))))</f>
        <v/>
      </c>
    </row>
    <row r="41" spans="1:46" ht="13.5" customHeight="1">
      <c r="A41" s="66" t="str">
        <f ca="1">DAY(R41) &amp; " " &amp; INDEX(T,47+MONTH(R41),language)</f>
        <v>24 jun</v>
      </c>
      <c r="B41" s="67" t="str">
        <f>TEXT(HOUR(R41),"00")&amp;":"&amp;TEXT(MINUTE(R41),"00")</f>
        <v>20:45</v>
      </c>
      <c r="C41" s="68" t="s">
        <v>1689</v>
      </c>
      <c r="D41" s="69" t="str">
        <f>AE28</f>
        <v>Vinnare grupp D</v>
      </c>
      <c r="E41" s="78"/>
      <c r="F41" s="78"/>
      <c r="G41" s="70" t="str">
        <f>AE22</f>
        <v>Tvåa grupp C</v>
      </c>
      <c r="H41" s="78"/>
      <c r="I41" s="81"/>
      <c r="R41" s="84">
        <f ca="1">DATE(2012,6,24) + TIME(7,45,0) + GMT</f>
        <v>41084.864583333328</v>
      </c>
      <c r="AO41" s="84" t="str">
        <f ca="1">IF(AP41="",INDEX(T,43,language),AP41)</f>
        <v>Segrare kvartsfinal 4</v>
      </c>
      <c r="AP41" s="84" t="str">
        <f>IF(E41="","",IF(F41="","",IF(E41&gt;F41,D41,IF(E41&lt;F41,G41,AQ41))))</f>
        <v/>
      </c>
      <c r="AQ41" s="84" t="str">
        <f>IF(H41="","",IF(I41="","",IF(H41&gt;I41,D41,IF(H41&lt;I41,G41,""))))</f>
        <v/>
      </c>
    </row>
    <row r="42" spans="1:46" ht="13.5" customHeight="1"/>
    <row r="43" spans="1:46" ht="13.5" customHeight="1">
      <c r="A43" s="40"/>
      <c r="B43" s="41"/>
      <c r="C43" s="41"/>
      <c r="D43" s="100" t="str">
        <f ca="1">INDEX(T,28,language)</f>
        <v>Semifinaler</v>
      </c>
      <c r="E43" s="100"/>
      <c r="F43" s="100"/>
      <c r="G43" s="100"/>
      <c r="H43" s="41"/>
      <c r="I43" s="42"/>
    </row>
    <row r="44" spans="1:46" ht="13.5" customHeight="1">
      <c r="A44" s="43"/>
      <c r="B44" s="44"/>
      <c r="C44" s="44"/>
      <c r="D44" s="101"/>
      <c r="E44" s="101"/>
      <c r="F44" s="101"/>
      <c r="G44" s="101"/>
      <c r="H44" s="44"/>
      <c r="I44" s="45"/>
    </row>
    <row r="45" spans="1:46" ht="13.5" customHeight="1">
      <c r="A45" s="46" t="str">
        <f ca="1">DAY(R45) &amp; " " &amp; INDEX(T,47+MONTH(R45),language)</f>
        <v>27 jun</v>
      </c>
      <c r="B45" s="47" t="str">
        <f>TEXT(HOUR(R45),"00")&amp;":"&amp;TEXT(MINUTE(R45),"00")</f>
        <v>20:45</v>
      </c>
      <c r="C45" s="48" t="s">
        <v>1688</v>
      </c>
      <c r="D45" s="49" t="str">
        <f>AO38</f>
        <v>Segrare kvartsfinal 1</v>
      </c>
      <c r="E45" s="76"/>
      <c r="F45" s="76"/>
      <c r="G45" s="50" t="str">
        <f>AO40</f>
        <v>Segrare kvartsfinal 3</v>
      </c>
      <c r="H45" s="76"/>
      <c r="I45" s="79"/>
      <c r="R45" s="84">
        <f ca="1">DATE(2012,6,27) + TIME(7,45,0) + GMT</f>
        <v>41087.864583333328</v>
      </c>
      <c r="AO45" s="84" t="str">
        <f ca="1">IF(AP45="",INDEX(T,44,language),AP45)</f>
        <v>Segrare semifinal 1</v>
      </c>
      <c r="AP45" s="84" t="str">
        <f ca="1">IF(E45="","",IF(F45="","",IF(E45&gt;F45,D45,IF(E45&lt;F45,G45,AS45))))</f>
        <v/>
      </c>
      <c r="AQ45" s="84" t="str">
        <f ca="1">IF(AR45="",INDEX(T,46,language),AR45)</f>
        <v>Förlorare semifinal 1</v>
      </c>
      <c r="AR45" s="84" t="str">
        <f>IF(E45="","",IF(F45="","",IF(E45&gt;F45,G45,IF(E45&lt;F45,D45,AT45))))</f>
        <v/>
      </c>
      <c r="AS45" s="84" t="str">
        <f>IF(H45="","",IF(I45="","",IF(H45&gt;I45,D45,IF(H45&lt;I45,G45,""))))</f>
        <v/>
      </c>
      <c r="AT45" s="84" t="str">
        <f>IF(H45="","",IF(I45="","",IF(H45&gt;I45,G45,IF(H45&lt;I45,D45,""))))</f>
        <v/>
      </c>
    </row>
    <row r="46" spans="1:46" ht="13.5" customHeight="1">
      <c r="A46" s="66" t="str">
        <f ca="1">DAY(R46) &amp; " " &amp; INDEX(T,47+MONTH(R46),language)</f>
        <v>28 jun</v>
      </c>
      <c r="B46" s="67" t="str">
        <f>TEXT(HOUR(R46),"00")&amp;":"&amp;TEXT(MINUTE(R46),"00")</f>
        <v>20:45</v>
      </c>
      <c r="C46" s="68" t="s">
        <v>1682</v>
      </c>
      <c r="D46" s="69" t="str">
        <f>AO39</f>
        <v>Segrare kvartsfinal 2</v>
      </c>
      <c r="E46" s="78"/>
      <c r="F46" s="78"/>
      <c r="G46" s="70" t="str">
        <f>AO41</f>
        <v>Segrare kvartsfinal 4</v>
      </c>
      <c r="H46" s="78"/>
      <c r="I46" s="81"/>
      <c r="R46" s="84">
        <f ca="1">DATE(2012,6,28) + TIME(7,45,0) + GMT</f>
        <v>41088.864583333328</v>
      </c>
      <c r="AO46" s="84" t="str">
        <f ca="1">IF(AP46="",INDEX(T,45,language),AP46)</f>
        <v>Segrare semifinal 2</v>
      </c>
      <c r="AP46" s="84" t="str">
        <f ca="1">IF(E46="","",IF(F46="","",IF(E46&gt;F46,D46,IF(E46&lt;F46,G46,AS46))))</f>
        <v/>
      </c>
      <c r="AQ46" s="84" t="str">
        <f ca="1">IF(AR46="",INDEX(T,47,language),AR46)</f>
        <v>Förlorare semifinal 2</v>
      </c>
      <c r="AR46" s="84" t="str">
        <f>IF(E46="","",IF(F46="","",IF(E46&gt;F46,G46,IF(E46&lt;F46,D46,AT46))))</f>
        <v/>
      </c>
      <c r="AS46" s="84" t="str">
        <f>IF(H46="","",IF(I46="","",IF(H46&gt;I46,D46,IF(H46&lt;I46,G46,""))))</f>
        <v/>
      </c>
      <c r="AT46" s="84" t="str">
        <f>IF(H46="","",IF(I46="","",IF(H46&gt;I46,G46,IF(H46&lt;I46,D46,""))))</f>
        <v/>
      </c>
    </row>
    <row r="47" spans="1:46" ht="13.5" customHeight="1"/>
    <row r="48" spans="1:46" ht="13.5" customHeight="1">
      <c r="A48" s="40"/>
      <c r="B48" s="41"/>
      <c r="C48" s="41"/>
      <c r="D48" s="100" t="str">
        <f ca="1">INDEX(T,30,language)</f>
        <v>Final</v>
      </c>
      <c r="E48" s="100"/>
      <c r="F48" s="100"/>
      <c r="G48" s="100"/>
      <c r="H48" s="41"/>
      <c r="I48" s="42"/>
    </row>
    <row r="49" spans="1:43" ht="13.5" customHeight="1">
      <c r="A49" s="43"/>
      <c r="B49" s="44"/>
      <c r="C49" s="44"/>
      <c r="D49" s="101"/>
      <c r="E49" s="101"/>
      <c r="F49" s="101"/>
      <c r="G49" s="101"/>
      <c r="H49" s="44"/>
      <c r="I49" s="45"/>
    </row>
    <row r="50" spans="1:43" ht="13.5" customHeight="1">
      <c r="A50" s="71" t="str">
        <f ca="1">DAY(R50) &amp; " " &amp; INDEX(T,47+MONTH(R50),language)</f>
        <v>1 jul</v>
      </c>
      <c r="B50" s="72" t="str">
        <f>TEXT(HOUR(R50),"00")&amp;":"&amp;TEXT(MINUTE(R50),"00")</f>
        <v>20:45</v>
      </c>
      <c r="C50" s="73" t="s">
        <v>1689</v>
      </c>
      <c r="D50" s="74" t="str">
        <f>AO45</f>
        <v>Segrare semifinal 1</v>
      </c>
      <c r="E50" s="82"/>
      <c r="F50" s="82"/>
      <c r="G50" s="75" t="str">
        <f>AO46</f>
        <v>Segrare semifinal 2</v>
      </c>
      <c r="H50" s="82"/>
      <c r="I50" s="83"/>
      <c r="R50" s="84">
        <f ca="1">DATE(2012,7,1) + TIME(7,45,0) + GMT</f>
        <v>41091.864583333328</v>
      </c>
      <c r="AO50" s="84" t="str">
        <f>IF(AP50="","",AP50)</f>
        <v/>
      </c>
      <c r="AP50" s="84" t="str">
        <f>IF(E50="","",IF(F50="","",IF(E50&gt;F50,D50,IF(E50&lt;F50,G50,AQ50))))</f>
        <v/>
      </c>
      <c r="AQ50" s="84" t="str">
        <f>IF(H50="","",IF(I50="","",IF(H50&gt;I50,D50,IF(H50&lt;I50,G50,""))))</f>
        <v/>
      </c>
    </row>
    <row r="51" spans="1:43" ht="13.5" customHeight="1" thickBot="1"/>
    <row r="52" spans="1:43" ht="24" customHeight="1">
      <c r="A52" s="111" t="str">
        <f ca="1">INDEX(T,31,language)</f>
        <v>Europamästare 2012</v>
      </c>
      <c r="B52" s="111"/>
      <c r="C52" s="111"/>
      <c r="D52" s="111"/>
      <c r="E52" s="112" t="str">
        <f>AO50</f>
        <v/>
      </c>
      <c r="F52" s="112"/>
      <c r="G52" s="112"/>
      <c r="H52" s="112"/>
      <c r="I52" s="112"/>
    </row>
  </sheetData>
  <sheetProtection password="81D4" sheet="1" objects="1" scenarios="1"/>
  <mergeCells count="61">
    <mergeCell ref="H24:I24"/>
    <mergeCell ref="H13:I13"/>
    <mergeCell ref="K33:P34"/>
    <mergeCell ref="H25:I25"/>
    <mergeCell ref="H30:I30"/>
    <mergeCell ref="H26:I26"/>
    <mergeCell ref="H27:I27"/>
    <mergeCell ref="H28:I28"/>
    <mergeCell ref="H29:I29"/>
    <mergeCell ref="H21:I21"/>
    <mergeCell ref="H14:I14"/>
    <mergeCell ref="H15:I15"/>
    <mergeCell ref="H16:I16"/>
    <mergeCell ref="H17:I17"/>
    <mergeCell ref="D3:I3"/>
    <mergeCell ref="H7:I7"/>
    <mergeCell ref="H8:I8"/>
    <mergeCell ref="H9:I9"/>
    <mergeCell ref="H10:I10"/>
    <mergeCell ref="H11:I11"/>
    <mergeCell ref="H12:I12"/>
    <mergeCell ref="D48:G49"/>
    <mergeCell ref="K12:K13"/>
    <mergeCell ref="L12:L13"/>
    <mergeCell ref="N19:N20"/>
    <mergeCell ref="M12:M13"/>
    <mergeCell ref="A52:D52"/>
    <mergeCell ref="E52:I52"/>
    <mergeCell ref="F33:H34"/>
    <mergeCell ref="B33:D34"/>
    <mergeCell ref="H22:I22"/>
    <mergeCell ref="K19:K20"/>
    <mergeCell ref="L19:L20"/>
    <mergeCell ref="P19:P20"/>
    <mergeCell ref="O12:O13"/>
    <mergeCell ref="O26:O27"/>
    <mergeCell ref="D43:G44"/>
    <mergeCell ref="H23:I23"/>
    <mergeCell ref="H18:I18"/>
    <mergeCell ref="H19:I19"/>
    <mergeCell ref="H20:I20"/>
    <mergeCell ref="A1:P1"/>
    <mergeCell ref="O5:O6"/>
    <mergeCell ref="P5:P6"/>
    <mergeCell ref="K5:K6"/>
    <mergeCell ref="L5:L6"/>
    <mergeCell ref="N26:N27"/>
    <mergeCell ref="O19:O20"/>
    <mergeCell ref="M19:M20"/>
    <mergeCell ref="K3:M3"/>
    <mergeCell ref="P26:P27"/>
    <mergeCell ref="P12:P13"/>
    <mergeCell ref="M5:M6"/>
    <mergeCell ref="N5:N6"/>
    <mergeCell ref="N3:P3"/>
    <mergeCell ref="D5:G6"/>
    <mergeCell ref="D36:G37"/>
    <mergeCell ref="K26:K27"/>
    <mergeCell ref="L26:L27"/>
    <mergeCell ref="M26:M27"/>
    <mergeCell ref="N12:N13"/>
  </mergeCells>
  <phoneticPr fontId="0" type="noConversion"/>
  <conditionalFormatting sqref="K7:P8 K14:P15 K21:P22 K28:P29">
    <cfRule type="expression" dxfId="10" priority="16" stopIfTrue="1">
      <formula>IF($K7=$AE7,1,0)</formula>
    </cfRule>
  </conditionalFormatting>
  <conditionalFormatting sqref="D7:D30">
    <cfRule type="expression" dxfId="9" priority="8" stopIfTrue="1">
      <formula>IF($AW7=CONCATENATE($D7,"_draw"),1,0)</formula>
    </cfRule>
    <cfRule type="expression" dxfId="8" priority="9" stopIfTrue="1">
      <formula>IF($AW7=CONCATENATE($D7,"_lose"),1,0)</formula>
    </cfRule>
    <cfRule type="expression" dxfId="7" priority="10" stopIfTrue="1">
      <formula>IF($AW7=CONCATENATE($D7,"_win"),1,0)</formula>
    </cfRule>
  </conditionalFormatting>
  <conditionalFormatting sqref="G7:G30">
    <cfRule type="expression" dxfId="6" priority="5" stopIfTrue="1">
      <formula>IF($AX7=CONCATENATE($G7,"_draw"),1,0)</formula>
    </cfRule>
    <cfRule type="expression" dxfId="5" priority="6" stopIfTrue="1">
      <formula>IF($AX7=CONCATENATE($G7,"_win"),1,0)</formula>
    </cfRule>
    <cfRule type="expression" dxfId="4" priority="7" stopIfTrue="1">
      <formula>IF($AX7=CONCATENATE($G7,"_lose"),1,0)</formula>
    </cfRule>
  </conditionalFormatting>
  <conditionalFormatting sqref="D38:D41 D45:D46 D50">
    <cfRule type="expression" dxfId="3" priority="3" stopIfTrue="1">
      <formula>IF(AND(G38=AO38,E38&lt;&gt;"",F38&lt;&gt;""),1,0)</formula>
    </cfRule>
    <cfRule type="cellIs" dxfId="2" priority="4" stopIfTrue="1" operator="equal">
      <formula>AO38</formula>
    </cfRule>
  </conditionalFormatting>
  <conditionalFormatting sqref="G38:G41 G45:G46 G50">
    <cfRule type="expression" dxfId="1" priority="1" stopIfTrue="1">
      <formula>IF(AND(D38=AO38,E38&lt;&gt;"",F38&lt;&gt;""),1,0)</formula>
    </cfRule>
    <cfRule type="cellIs" dxfId="0" priority="2" stopIfTrue="1" operator="equal">
      <formula>AO38</formula>
    </cfRule>
  </conditionalFormatting>
  <hyperlinks>
    <hyperlink ref="N3:P3" location="Settings!C4" tooltip="Change Language" display="Settings!C4"/>
    <hyperlink ref="F33:H34" r:id="rId1" tooltip="Cut MP3 Files Online" display="Cut MP3 Files"/>
    <hyperlink ref="B33:D34" r:id="rId2" tooltip="Bet for FREE" display="Bet For FREE"/>
    <hyperlink ref="K3:M3" r:id="rId3" tooltip="www.excely.com" display="http://www.excely.com/"/>
    <hyperlink ref="D3:I3" r:id="rId4" tooltip="EURO 2012 Tickets" display="EURO 2012 Tickets"/>
    <hyperlink ref="K33:P34" r:id="rId5" tooltip="Youtube to MP3 Online Converter" display="Cut MP3 Files Online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66" orientation="portrait" r:id="rId6"/>
  <headerFooter alignWithMargins="0">
    <oddFooter>&amp;CExcely.com (c) 2007</oddFooter>
  </headerFooter>
  <drawing r:id="rId7"/>
  <picture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T</vt:lpstr>
      <vt:lpstr>Settings</vt:lpstr>
      <vt:lpstr>UEFA Euro 2012</vt:lpstr>
      <vt:lpstr>GMT</vt:lpstr>
      <vt:lpstr>GMT_MIN</vt:lpstr>
      <vt:lpstr>language</vt:lpstr>
      <vt:lpstr>'UEFA Euro 2012'!Print_Area</vt:lpstr>
      <vt:lpstr>T</vt:lpstr>
      <vt:lpstr>team_rnk</vt:lpstr>
    </vt:vector>
  </TitlesOfParts>
  <Company>Excely.com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UEFA EURO 2012 Schedule</dc:title>
  <dc:creator>Denis Kozyr</dc:creator>
  <cp:lastModifiedBy>pjorgen5</cp:lastModifiedBy>
  <cp:lastPrinted>2011-12-26T10:23:48Z</cp:lastPrinted>
  <dcterms:created xsi:type="dcterms:W3CDTF">2005-12-06T22:26:17Z</dcterms:created>
  <dcterms:modified xsi:type="dcterms:W3CDTF">2012-05-24T08:16:42Z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1262440888</vt:i4>
  </property>
  <property fmtid="{D5CDD505-2E9C-101B-9397-08002B2CF9AE}" pid="3" name="_NewReviewCycle">
    <vt:lpwstr/>
  </property>
  <property fmtid="{D5CDD505-2E9C-101B-9397-08002B2CF9AE}" pid="4" name="_EmailSubject">
    <vt:lpwstr>NU ÄR DET ÄNTLIGEN DAGS FÖR EM TIPSET!! </vt:lpwstr>
  </property>
  <property fmtid="{D5CDD505-2E9C-101B-9397-08002B2CF9AE}" pid="5" name="_AuthorEmail">
    <vt:lpwstr>PJORGEN5@volvocars.com</vt:lpwstr>
  </property>
  <property fmtid="{D5CDD505-2E9C-101B-9397-08002B2CF9AE}" pid="6" name="_AuthorEmailDisplayName">
    <vt:lpwstr>Jörgensen, Patrik (PJ)</vt:lpwstr>
  </property>
</Properties>
</file>