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ropbox\Privat McD\IFK Mariefred\HS\2024\Årsmöte\"/>
    </mc:Choice>
  </mc:AlternateContent>
  <xr:revisionPtr revIDLastSave="0" documentId="13_ncr:1_{0AD3BB32-3853-44DB-A68D-C5E995D55BD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tfall 2023, Budget 2024" sheetId="1" r:id="rId1"/>
    <sheet name="Sammanställning Sektioner 2023" sheetId="3" r:id="rId2"/>
    <sheet name="Likviditet 2023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0" i="4" l="1"/>
  <c r="B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F11" i="4"/>
  <c r="B11" i="4"/>
  <c r="D10" i="4"/>
  <c r="D9" i="4"/>
  <c r="D8" i="4"/>
  <c r="D7" i="4"/>
  <c r="D6" i="4"/>
  <c r="D5" i="4"/>
  <c r="D4" i="4"/>
  <c r="D3" i="4"/>
  <c r="N23" i="3"/>
  <c r="R23" i="3" s="1"/>
  <c r="N19" i="3"/>
  <c r="R19" i="3" s="1"/>
  <c r="N18" i="3"/>
  <c r="R18" i="3" s="1"/>
  <c r="N17" i="3"/>
  <c r="R17" i="3" s="1"/>
  <c r="N16" i="3"/>
  <c r="R16" i="3" s="1"/>
  <c r="N15" i="3"/>
  <c r="R15" i="3" s="1"/>
  <c r="N14" i="3"/>
  <c r="R14" i="3" s="1"/>
  <c r="N8" i="3"/>
  <c r="R8" i="3" s="1"/>
  <c r="N7" i="3"/>
  <c r="R7" i="3" s="1"/>
  <c r="N6" i="3"/>
  <c r="R6" i="3" s="1"/>
  <c r="N5" i="3"/>
  <c r="R5" i="3" s="1"/>
  <c r="J13" i="3"/>
  <c r="N13" i="3" s="1"/>
  <c r="R13" i="3" s="1"/>
  <c r="D30" i="4" l="1"/>
  <c r="D11" i="4"/>
  <c r="B32" i="4"/>
  <c r="F32" i="4"/>
  <c r="D32" i="4"/>
  <c r="R21" i="3"/>
  <c r="R10" i="3"/>
  <c r="P21" i="3"/>
  <c r="P10" i="3"/>
  <c r="P25" i="3" s="1"/>
  <c r="N21" i="3"/>
  <c r="N10" i="3"/>
  <c r="M21" i="3"/>
  <c r="L21" i="3"/>
  <c r="K21" i="3"/>
  <c r="J21" i="3"/>
  <c r="I21" i="3"/>
  <c r="H21" i="3"/>
  <c r="M10" i="3"/>
  <c r="L10" i="3"/>
  <c r="K10" i="3"/>
  <c r="J10" i="3"/>
  <c r="I10" i="3"/>
  <c r="H10" i="3"/>
  <c r="G21" i="3"/>
  <c r="F21" i="3"/>
  <c r="E21" i="3"/>
  <c r="G10" i="3"/>
  <c r="F10" i="3"/>
  <c r="E10" i="3"/>
  <c r="D21" i="3"/>
  <c r="B21" i="3"/>
  <c r="C21" i="3"/>
  <c r="D10" i="3"/>
  <c r="B10" i="3"/>
  <c r="C10" i="3"/>
  <c r="D51" i="1"/>
  <c r="D52" i="1"/>
  <c r="D58" i="1"/>
  <c r="D62" i="1" s="1"/>
  <c r="D57" i="1"/>
  <c r="E56" i="1"/>
  <c r="E60" i="1" s="1"/>
  <c r="D40" i="1"/>
  <c r="D21" i="1"/>
  <c r="D60" i="1"/>
  <c r="D43" i="1"/>
  <c r="D44" i="1"/>
  <c r="D45" i="1"/>
  <c r="D14" i="1"/>
  <c r="D13" i="1"/>
  <c r="D10" i="1"/>
  <c r="D9" i="1"/>
  <c r="E53" i="1"/>
  <c r="E32" i="1"/>
  <c r="E15" i="1"/>
  <c r="D32" i="1"/>
  <c r="C62" i="1"/>
  <c r="C53" i="1"/>
  <c r="C32" i="1"/>
  <c r="C15" i="1"/>
  <c r="B47" i="1"/>
  <c r="N25" i="3" l="1"/>
  <c r="R25" i="3"/>
  <c r="D25" i="3"/>
  <c r="C25" i="3"/>
  <c r="J25" i="3"/>
  <c r="E25" i="3"/>
  <c r="F25" i="3"/>
  <c r="M25" i="3"/>
  <c r="I25" i="3"/>
  <c r="B25" i="3"/>
  <c r="L25" i="3"/>
  <c r="G25" i="3"/>
  <c r="K25" i="3"/>
  <c r="H25" i="3"/>
  <c r="E59" i="1"/>
  <c r="E58" i="1"/>
  <c r="E62" i="1"/>
  <c r="E66" i="1" s="1"/>
  <c r="D53" i="1"/>
  <c r="D15" i="1"/>
  <c r="C66" i="1"/>
  <c r="D6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6" authorId="0" shapeId="0" xr:uid="{303858BB-EA36-41F1-8C49-26B7B39D37D7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Inkl dräkter
</t>
        </r>
      </text>
    </comment>
    <comment ref="C8" authorId="0" shapeId="0" xr:uid="{633939D1-F63A-46C5-99F3-A58B9B2CF148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Julgranar 241 tkr, bidrag 221 tkr, spons 92 tkr</t>
        </r>
      </text>
    </comment>
    <comment ref="C13" authorId="0" shapeId="0" xr:uid="{B3574321-7342-479C-91D7-3B9BBF96F97A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Material 238 tkr, julgranar 165 tkr</t>
        </r>
      </text>
    </comment>
    <comment ref="J13" authorId="0" shapeId="0" xr:uid="{208AC171-EA96-4A07-9092-147F7D2A647E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Inköp ved &amp; granar (183.402), Tävlingsdräkter (50.362)</t>
        </r>
      </text>
    </comment>
    <comment ref="P13" authorId="0" shapeId="0" xr:uid="{3E11E996-F6E5-4F54-887A-8E5D455BD65E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Inköp profilkläder</t>
        </r>
      </text>
    </comment>
    <comment ref="E14" authorId="0" shapeId="0" xr:uid="{DFD96448-1EC5-480E-8603-D617DAC489EB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Inkl bankavg, medlavg</t>
        </r>
      </text>
    </comment>
    <comment ref="E19" authorId="0" shapeId="0" xr:uid="{F9199E0A-FA12-4AEC-AFC9-3C2FA5422432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Dräkter, utbildning,. Tränararvoden
</t>
        </r>
      </text>
    </comment>
  </commentList>
</comments>
</file>

<file path=xl/sharedStrings.xml><?xml version="1.0" encoding="utf-8"?>
<sst xmlns="http://schemas.openxmlformats.org/spreadsheetml/2006/main" count="150" uniqueCount="129">
  <si>
    <t>3550</t>
  </si>
  <si>
    <t>3610</t>
  </si>
  <si>
    <t>Medlemsavgifter</t>
  </si>
  <si>
    <t>3710</t>
  </si>
  <si>
    <t>Kommunala bidrag</t>
  </si>
  <si>
    <t>3720</t>
  </si>
  <si>
    <t>Statliga bidrag</t>
  </si>
  <si>
    <t>3730</t>
  </si>
  <si>
    <t>3990</t>
  </si>
  <si>
    <t>4010</t>
  </si>
  <si>
    <t>4022</t>
  </si>
  <si>
    <t>4029</t>
  </si>
  <si>
    <t>4040</t>
  </si>
  <si>
    <t>4616</t>
  </si>
  <si>
    <t>Kostnader för styrelsemöten</t>
  </si>
  <si>
    <t>Förbrukningsinventarier</t>
  </si>
  <si>
    <t>5460</t>
  </si>
  <si>
    <t>5910</t>
  </si>
  <si>
    <t>6071</t>
  </si>
  <si>
    <t>6230</t>
  </si>
  <si>
    <t>Porto och postbox</t>
  </si>
  <si>
    <t>6310</t>
  </si>
  <si>
    <t>Försäkringar</t>
  </si>
  <si>
    <t>6530</t>
  </si>
  <si>
    <t>6541</t>
  </si>
  <si>
    <t>Medlems- och föreningsavgifter</t>
  </si>
  <si>
    <t>6570</t>
  </si>
  <si>
    <t>6970</t>
  </si>
  <si>
    <t>Tidningar, facklitteratur</t>
  </si>
  <si>
    <t>7010</t>
  </si>
  <si>
    <t>Löner till anställda</t>
  </si>
  <si>
    <t>7290</t>
  </si>
  <si>
    <t>7510</t>
  </si>
  <si>
    <t>7519</t>
  </si>
  <si>
    <t>Rörelseintäkter</t>
  </si>
  <si>
    <t>Summa rörelseintäkter</t>
  </si>
  <si>
    <t>Summa varukostnad</t>
  </si>
  <si>
    <t>Rörelsekostnader</t>
  </si>
  <si>
    <t>Summa rörelsekostnader</t>
  </si>
  <si>
    <t>Summa löner</t>
  </si>
  <si>
    <t>Sponsring</t>
  </si>
  <si>
    <t>Kontorsmateriel</t>
  </si>
  <si>
    <t>Överföring kioskintäkter till sektioner</t>
  </si>
  <si>
    <t>Kostnader IFK Academy</t>
  </si>
  <si>
    <t>Inköp av nycklar</t>
  </si>
  <si>
    <t>Priser, medaljer, gravyr</t>
  </si>
  <si>
    <t>Inköp av kiosk- och serveringsvaror</t>
  </si>
  <si>
    <t>Direkta kostnader handboll</t>
  </si>
  <si>
    <t>Lokalhyra</t>
  </si>
  <si>
    <t>Programvaror</t>
  </si>
  <si>
    <t>Bankkostnader</t>
  </si>
  <si>
    <t>Personalkostnader</t>
  </si>
  <si>
    <t>Arbetsgivaravgifter</t>
  </si>
  <si>
    <t>Övriga kostnader</t>
  </si>
  <si>
    <t>Förbrukningsmaterial</t>
  </si>
  <si>
    <t xml:space="preserve">RESULTAT </t>
  </si>
  <si>
    <t>Rörelsens kostnader</t>
  </si>
  <si>
    <t>Lokalkostnader övrigt</t>
  </si>
  <si>
    <t>Bidrag sektioner</t>
  </si>
  <si>
    <t>Budget 2023</t>
  </si>
  <si>
    <t>Överförda bidrag till sektioner</t>
  </si>
  <si>
    <t>Telefon</t>
  </si>
  <si>
    <t>IT</t>
  </si>
  <si>
    <t>Försäljning kioskvaror</t>
  </si>
  <si>
    <t>Övriga intäkter</t>
  </si>
  <si>
    <t>Övriga bidrag</t>
  </si>
  <si>
    <t>Representation och blommor</t>
  </si>
  <si>
    <t>Övriga kostnader (Sportis)</t>
  </si>
  <si>
    <t>Räntor</t>
  </si>
  <si>
    <t>Försäljning profilkläder</t>
  </si>
  <si>
    <t>Inköp av profilkläder</t>
  </si>
  <si>
    <t xml:space="preserve">Avskrivningar </t>
  </si>
  <si>
    <t>Kostnader för event</t>
  </si>
  <si>
    <t>BUDGET 2024 - HUVUDSTYRELSEN</t>
  </si>
  <si>
    <t>Utfall 2023</t>
  </si>
  <si>
    <t>Budget 2024</t>
  </si>
  <si>
    <t>Intäkter event &amp; parkering</t>
  </si>
  <si>
    <t>Förändring lager profilkläder</t>
  </si>
  <si>
    <t>Överförd parkering till sektioner</t>
  </si>
  <si>
    <t>Semesterlön</t>
  </si>
  <si>
    <t>Pensionsförsäkringspremier</t>
  </si>
  <si>
    <t>Löner till event</t>
  </si>
  <si>
    <t>Reklam</t>
  </si>
  <si>
    <t>SAMMANSTÄLLNING SEKTIONER 2023</t>
  </si>
  <si>
    <t>Fotboll</t>
  </si>
  <si>
    <t>Ishockey</t>
  </si>
  <si>
    <t>Handboll</t>
  </si>
  <si>
    <t>Material</t>
  </si>
  <si>
    <t>Domare</t>
  </si>
  <si>
    <t>Ledararvoden</t>
  </si>
  <si>
    <t>Spelaravgifter</t>
  </si>
  <si>
    <t>Kioskintäkter</t>
  </si>
  <si>
    <t>Summa kostnader</t>
  </si>
  <si>
    <t>Innebandy</t>
  </si>
  <si>
    <t>Friidrott</t>
  </si>
  <si>
    <t>Skidor</t>
  </si>
  <si>
    <t>NPF</t>
  </si>
  <si>
    <t>Konståkning</t>
  </si>
  <si>
    <t>Bordtennis</t>
  </si>
  <si>
    <t>Senior</t>
  </si>
  <si>
    <t>Discgolf</t>
  </si>
  <si>
    <t>Huvudstyrelsen</t>
  </si>
  <si>
    <t>TOTALT
IFK Mariefred</t>
  </si>
  <si>
    <t>TOTALT 
Sektioner</t>
  </si>
  <si>
    <t>Summa intäkter</t>
  </si>
  <si>
    <t>Kampsport</t>
  </si>
  <si>
    <t>Aktivitets-/medlemsbidrag</t>
  </si>
  <si>
    <t>Balansförändring 2023 hela IFK</t>
  </si>
  <si>
    <t>HS</t>
  </si>
  <si>
    <t>Förändring</t>
  </si>
  <si>
    <t>Huvudkassa</t>
  </si>
  <si>
    <t>Kioskförsäljning</t>
  </si>
  <si>
    <t>Varulager</t>
  </si>
  <si>
    <t>Event</t>
  </si>
  <si>
    <t>Parkeringar</t>
  </si>
  <si>
    <t>HS placering</t>
  </si>
  <si>
    <t>Stödkassa</t>
  </si>
  <si>
    <t>Summa HS</t>
  </si>
  <si>
    <t>Sektioner</t>
  </si>
  <si>
    <t>Fotboll placering</t>
  </si>
  <si>
    <t>Handboll placering</t>
  </si>
  <si>
    <t>Seniorer</t>
  </si>
  <si>
    <t>Skidor placering</t>
  </si>
  <si>
    <t>Summa sektioner</t>
  </si>
  <si>
    <t>Summa IFK</t>
  </si>
  <si>
    <t>Notering! I Huvudstyrelsens resultaträkning så ingår även alla bidrag som slussats vidare till sektionerna.</t>
  </si>
  <si>
    <t>Ishockey A-lag</t>
  </si>
  <si>
    <t>Ishockey event</t>
  </si>
  <si>
    <t>Insamling anläggning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</si>
</sst>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r&quot;"/>
  </numFmts>
  <fonts count="2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8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gray06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64" fontId="0" fillId="0" borderId="0" xfId="0" applyNumberFormat="1"/>
    <xf numFmtId="164" fontId="0" fillId="0" borderId="0" xfId="0" applyNumberFormat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164" fontId="5" fillId="0" borderId="0" xfId="0" applyNumberFormat="1" applyFont="1" applyProtection="1">
      <protection locked="0"/>
    </xf>
    <xf numFmtId="164" fontId="3" fillId="0" borderId="0" xfId="0" applyNumberFormat="1" applyFont="1" applyAlignment="1">
      <alignment horizontal="left" vertical="top"/>
    </xf>
    <xf numFmtId="164" fontId="3" fillId="0" borderId="0" xfId="0" applyNumberFormat="1" applyFont="1" applyAlignment="1">
      <alignment vertical="top"/>
    </xf>
    <xf numFmtId="164" fontId="2" fillId="0" borderId="3" xfId="0" applyNumberFormat="1" applyFont="1" applyBorder="1" applyAlignment="1">
      <alignment horizontal="left" vertical="top"/>
    </xf>
    <xf numFmtId="164" fontId="8" fillId="0" borderId="0" xfId="0" applyNumberFormat="1" applyFont="1" applyProtection="1">
      <protection locked="0"/>
    </xf>
    <xf numFmtId="164" fontId="2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vertical="top"/>
    </xf>
    <xf numFmtId="164" fontId="2" fillId="2" borderId="3" xfId="0" applyNumberFormat="1" applyFont="1" applyFill="1" applyBorder="1" applyAlignment="1">
      <alignment horizontal="left" vertical="top"/>
    </xf>
    <xf numFmtId="164" fontId="3" fillId="0" borderId="3" xfId="0" applyNumberFormat="1" applyFont="1" applyBorder="1" applyAlignment="1">
      <alignment horizontal="left" vertical="top"/>
    </xf>
    <xf numFmtId="164" fontId="4" fillId="2" borderId="1" xfId="0" applyNumberFormat="1" applyFont="1" applyFill="1" applyBorder="1" applyAlignment="1">
      <alignment vertical="top"/>
    </xf>
    <xf numFmtId="164" fontId="0" fillId="0" borderId="1" xfId="0" applyNumberFormat="1" applyBorder="1"/>
    <xf numFmtId="164" fontId="6" fillId="0" borderId="0" xfId="0" applyNumberFormat="1" applyFont="1" applyAlignment="1">
      <alignment vertical="top"/>
    </xf>
    <xf numFmtId="164" fontId="2" fillId="7" borderId="3" xfId="0" applyNumberFormat="1" applyFont="1" applyFill="1" applyBorder="1" applyAlignment="1">
      <alignment vertical="top"/>
    </xf>
    <xf numFmtId="164" fontId="0" fillId="0" borderId="7" xfId="0" applyNumberFormat="1" applyBorder="1"/>
    <xf numFmtId="164" fontId="10" fillId="0" borderId="8" xfId="0" applyNumberFormat="1" applyFont="1" applyBorder="1"/>
    <xf numFmtId="164" fontId="7" fillId="7" borderId="8" xfId="0" applyNumberFormat="1" applyFont="1" applyFill="1" applyBorder="1"/>
    <xf numFmtId="164" fontId="9" fillId="0" borderId="8" xfId="0" applyNumberFormat="1" applyFont="1" applyBorder="1"/>
    <xf numFmtId="164" fontId="7" fillId="7" borderId="9" xfId="0" applyNumberFormat="1" applyFont="1" applyFill="1" applyBorder="1"/>
    <xf numFmtId="164" fontId="8" fillId="3" borderId="5" xfId="0" applyNumberFormat="1" applyFont="1" applyFill="1" applyBorder="1" applyProtection="1">
      <protection locked="0"/>
    </xf>
    <xf numFmtId="164" fontId="7" fillId="4" borderId="6" xfId="0" applyNumberFormat="1" applyFont="1" applyFill="1" applyBorder="1" applyAlignment="1">
      <alignment horizontal="center"/>
    </xf>
    <xf numFmtId="164" fontId="9" fillId="0" borderId="0" xfId="0" applyNumberFormat="1" applyFont="1"/>
    <xf numFmtId="164" fontId="11" fillId="5" borderId="6" xfId="0" applyNumberFormat="1" applyFont="1" applyFill="1" applyBorder="1" applyAlignment="1">
      <alignment horizontal="center"/>
    </xf>
    <xf numFmtId="164" fontId="9" fillId="0" borderId="7" xfId="0" applyNumberFormat="1" applyFont="1" applyBorder="1"/>
    <xf numFmtId="164" fontId="11" fillId="7" borderId="9" xfId="0" applyNumberFormat="1" applyFont="1" applyFill="1" applyBorder="1"/>
    <xf numFmtId="164" fontId="12" fillId="7" borderId="8" xfId="0" applyNumberFormat="1" applyFont="1" applyFill="1" applyBorder="1"/>
    <xf numFmtId="164" fontId="12" fillId="7" borderId="9" xfId="0" applyNumberFormat="1" applyFont="1" applyFill="1" applyBorder="1"/>
    <xf numFmtId="164" fontId="7" fillId="8" borderId="6" xfId="0" applyNumberFormat="1" applyFont="1" applyFill="1" applyBorder="1" applyAlignment="1">
      <alignment horizontal="center"/>
    </xf>
    <xf numFmtId="164" fontId="10" fillId="0" borderId="7" xfId="0" applyNumberFormat="1" applyFont="1" applyBorder="1"/>
    <xf numFmtId="164" fontId="12" fillId="0" borderId="7" xfId="0" applyNumberFormat="1" applyFont="1" applyBorder="1"/>
    <xf numFmtId="164" fontId="12" fillId="0" borderId="8" xfId="0" applyNumberFormat="1" applyFont="1" applyBorder="1"/>
    <xf numFmtId="164" fontId="15" fillId="6" borderId="6" xfId="0" applyNumberFormat="1" applyFont="1" applyFill="1" applyBorder="1" applyAlignment="1">
      <alignment horizontal="center"/>
    </xf>
    <xf numFmtId="164" fontId="16" fillId="0" borderId="8" xfId="0" applyNumberFormat="1" applyFont="1" applyBorder="1"/>
    <xf numFmtId="164" fontId="15" fillId="7" borderId="8" xfId="0" applyNumberFormat="1" applyFont="1" applyFill="1" applyBorder="1"/>
    <xf numFmtId="164" fontId="16" fillId="0" borderId="7" xfId="0" applyNumberFormat="1" applyFont="1" applyBorder="1"/>
    <xf numFmtId="164" fontId="15" fillId="7" borderId="9" xfId="0" applyNumberFormat="1" applyFont="1" applyFill="1" applyBorder="1"/>
    <xf numFmtId="0" fontId="7" fillId="0" borderId="0" xfId="0" applyFont="1"/>
    <xf numFmtId="4" fontId="0" fillId="0" borderId="0" xfId="0" applyNumberFormat="1"/>
    <xf numFmtId="0" fontId="0" fillId="0" borderId="13" xfId="0" applyBorder="1"/>
    <xf numFmtId="164" fontId="18" fillId="9" borderId="4" xfId="0" applyNumberFormat="1" applyFont="1" applyFill="1" applyBorder="1" applyProtection="1">
      <protection locked="0"/>
    </xf>
    <xf numFmtId="164" fontId="19" fillId="0" borderId="0" xfId="0" applyNumberFormat="1" applyFont="1" applyAlignment="1">
      <alignment wrapText="1"/>
    </xf>
    <xf numFmtId="164" fontId="17" fillId="9" borderId="6" xfId="0" applyNumberFormat="1" applyFont="1" applyFill="1" applyBorder="1" applyAlignment="1">
      <alignment horizontal="center" wrapText="1"/>
    </xf>
    <xf numFmtId="164" fontId="18" fillId="9" borderId="4" xfId="0" applyNumberFormat="1" applyFont="1" applyFill="1" applyBorder="1" applyAlignment="1" applyProtection="1">
      <alignment wrapText="1"/>
      <protection locked="0"/>
    </xf>
    <xf numFmtId="0" fontId="7" fillId="10" borderId="10" xfId="0" applyFont="1" applyFill="1" applyBorder="1"/>
    <xf numFmtId="0" fontId="7" fillId="10" borderId="11" xfId="0" applyFont="1" applyFill="1" applyBorder="1" applyAlignment="1">
      <alignment horizontal="center" vertical="center"/>
    </xf>
    <xf numFmtId="0" fontId="18" fillId="9" borderId="10" xfId="0" applyFont="1" applyFill="1" applyBorder="1" applyAlignment="1">
      <alignment horizontal="center"/>
    </xf>
    <xf numFmtId="0" fontId="18" fillId="9" borderId="11" xfId="0" applyFont="1" applyFill="1" applyBorder="1" applyAlignment="1">
      <alignment horizontal="center"/>
    </xf>
    <xf numFmtId="0" fontId="18" fillId="9" borderId="12" xfId="0" applyFont="1" applyFill="1" applyBorder="1" applyAlignment="1">
      <alignment horizontal="center"/>
    </xf>
    <xf numFmtId="14" fontId="7" fillId="10" borderId="11" xfId="0" applyNumberFormat="1" applyFont="1" applyFill="1" applyBorder="1" applyAlignment="1">
      <alignment horizontal="center" vertical="center"/>
    </xf>
    <xf numFmtId="14" fontId="7" fillId="10" borderId="12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3" fontId="0" fillId="10" borderId="11" xfId="0" applyNumberFormat="1" applyFill="1" applyBorder="1" applyAlignment="1">
      <alignment horizontal="right"/>
    </xf>
    <xf numFmtId="3" fontId="0" fillId="10" borderId="12" xfId="0" applyNumberFormat="1" applyFill="1" applyBorder="1" applyAlignment="1">
      <alignment horizontal="right"/>
    </xf>
    <xf numFmtId="3" fontId="7" fillId="0" borderId="0" xfId="0" applyNumberFormat="1" applyFont="1" applyAlignment="1">
      <alignment horizontal="right"/>
    </xf>
    <xf numFmtId="3" fontId="7" fillId="10" borderId="11" xfId="0" applyNumberFormat="1" applyFont="1" applyFill="1" applyBorder="1" applyAlignment="1">
      <alignment horizontal="right"/>
    </xf>
    <xf numFmtId="3" fontId="7" fillId="10" borderId="12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8"/>
  <sheetViews>
    <sheetView tabSelected="1" topLeftCell="B1" zoomScale="130" zoomScaleNormal="130" workbookViewId="0">
      <selection activeCell="B1" sqref="B1"/>
    </sheetView>
  </sheetViews>
  <sheetFormatPr defaultColWidth="8.88671875" defaultRowHeight="14.4" x14ac:dyDescent="0.3"/>
  <cols>
    <col min="1" max="1" width="7.6640625" style="1" hidden="1" customWidth="1"/>
    <col min="2" max="2" width="44.77734375" style="1" bestFit="1" customWidth="1"/>
    <col min="3" max="3" width="14.33203125" style="1" customWidth="1"/>
    <col min="4" max="5" width="14.33203125" style="24" customWidth="1"/>
    <col min="6" max="6" width="9.6640625" style="1" bestFit="1" customWidth="1"/>
    <col min="7" max="7" width="9.5546875" style="1" bestFit="1" customWidth="1"/>
    <col min="8" max="8" width="26" style="1" customWidth="1"/>
    <col min="9" max="9" width="37.109375" style="1" bestFit="1" customWidth="1"/>
    <col min="10" max="10" width="10.33203125" style="1" bestFit="1" customWidth="1"/>
    <col min="11" max="16384" width="8.88671875" style="1"/>
  </cols>
  <sheetData>
    <row r="1" spans="1:5" ht="53.4" customHeight="1" thickBot="1" x14ac:dyDescent="0.45">
      <c r="B1" s="42" t="s">
        <v>73</v>
      </c>
    </row>
    <row r="2" spans="1:5" ht="15" thickBot="1" x14ac:dyDescent="0.35">
      <c r="A2" s="2"/>
      <c r="B2" s="2"/>
    </row>
    <row r="3" spans="1:5" x14ac:dyDescent="0.3">
      <c r="A3" s="3"/>
      <c r="B3" s="22" t="s">
        <v>34</v>
      </c>
      <c r="C3" s="23" t="s">
        <v>59</v>
      </c>
      <c r="D3" s="25" t="s">
        <v>74</v>
      </c>
      <c r="E3" s="34" t="s">
        <v>75</v>
      </c>
    </row>
    <row r="4" spans="1:5" x14ac:dyDescent="0.3">
      <c r="B4" s="4"/>
      <c r="C4" s="17"/>
      <c r="D4" s="26"/>
      <c r="E4" s="26"/>
    </row>
    <row r="5" spans="1:5" x14ac:dyDescent="0.3">
      <c r="A5" s="5" t="s">
        <v>0</v>
      </c>
      <c r="B5" s="6" t="s">
        <v>63</v>
      </c>
      <c r="C5" s="18">
        <v>300000</v>
      </c>
      <c r="D5" s="18">
        <v>525550</v>
      </c>
      <c r="E5" s="35">
        <v>450000</v>
      </c>
    </row>
    <row r="6" spans="1:5" x14ac:dyDescent="0.3">
      <c r="A6" s="5" t="s">
        <v>0</v>
      </c>
      <c r="B6" s="6" t="s">
        <v>69</v>
      </c>
      <c r="C6" s="18">
        <v>150000</v>
      </c>
      <c r="D6" s="18">
        <v>58766</v>
      </c>
      <c r="E6" s="35">
        <v>85000</v>
      </c>
    </row>
    <row r="7" spans="1:5" x14ac:dyDescent="0.3">
      <c r="A7" s="5"/>
      <c r="B7" s="6" t="s">
        <v>77</v>
      </c>
      <c r="C7" s="18">
        <v>0</v>
      </c>
      <c r="D7" s="18">
        <v>135000</v>
      </c>
      <c r="E7" s="35">
        <v>0</v>
      </c>
    </row>
    <row r="8" spans="1:5" x14ac:dyDescent="0.3">
      <c r="A8" s="5" t="s">
        <v>1</v>
      </c>
      <c r="B8" s="6" t="s">
        <v>2</v>
      </c>
      <c r="C8" s="18">
        <v>330000</v>
      </c>
      <c r="D8" s="18">
        <v>315700</v>
      </c>
      <c r="E8" s="35">
        <v>330000</v>
      </c>
    </row>
    <row r="9" spans="1:5" x14ac:dyDescent="0.3">
      <c r="A9" s="5" t="s">
        <v>3</v>
      </c>
      <c r="B9" s="6" t="s">
        <v>4</v>
      </c>
      <c r="C9" s="18">
        <v>230000</v>
      </c>
      <c r="D9" s="18">
        <f>260133+17559</f>
        <v>277692</v>
      </c>
      <c r="E9" s="35">
        <v>300000</v>
      </c>
    </row>
    <row r="10" spans="1:5" x14ac:dyDescent="0.3">
      <c r="A10" s="5" t="s">
        <v>5</v>
      </c>
      <c r="B10" s="6" t="s">
        <v>6</v>
      </c>
      <c r="C10" s="18">
        <v>800000</v>
      </c>
      <c r="D10" s="18">
        <f>662504+117039+76107</f>
        <v>855650</v>
      </c>
      <c r="E10" s="35">
        <v>800000</v>
      </c>
    </row>
    <row r="11" spans="1:5" x14ac:dyDescent="0.3">
      <c r="A11" s="5" t="s">
        <v>7</v>
      </c>
      <c r="B11" s="6" t="s">
        <v>65</v>
      </c>
      <c r="C11" s="18">
        <v>275000</v>
      </c>
      <c r="D11" s="18">
        <v>101520</v>
      </c>
      <c r="E11" s="35">
        <v>100000</v>
      </c>
    </row>
    <row r="12" spans="1:5" x14ac:dyDescent="0.3">
      <c r="A12" s="5"/>
      <c r="B12" s="6" t="s">
        <v>40</v>
      </c>
      <c r="C12" s="18">
        <v>110000</v>
      </c>
      <c r="D12" s="18">
        <v>110000</v>
      </c>
      <c r="E12" s="35">
        <v>110000</v>
      </c>
    </row>
    <row r="13" spans="1:5" x14ac:dyDescent="0.3">
      <c r="A13" s="5"/>
      <c r="B13" s="6" t="s">
        <v>76</v>
      </c>
      <c r="C13" s="18">
        <v>90000</v>
      </c>
      <c r="D13" s="18">
        <f>44700+118869+26985</f>
        <v>190554</v>
      </c>
      <c r="E13" s="35">
        <v>100000</v>
      </c>
    </row>
    <row r="14" spans="1:5" x14ac:dyDescent="0.3">
      <c r="A14" s="5" t="s">
        <v>8</v>
      </c>
      <c r="B14" s="6" t="s">
        <v>64</v>
      </c>
      <c r="C14" s="18">
        <v>20000</v>
      </c>
      <c r="D14" s="18">
        <f>60+1042+13+1490</f>
        <v>2605</v>
      </c>
      <c r="E14" s="35">
        <v>5000</v>
      </c>
    </row>
    <row r="15" spans="1:5" x14ac:dyDescent="0.3">
      <c r="A15" s="7"/>
      <c r="B15" s="16" t="s">
        <v>35</v>
      </c>
      <c r="C15" s="19">
        <f>SUM(C5:C14)</f>
        <v>2305000</v>
      </c>
      <c r="D15" s="28">
        <f>SUM(D5:D14)</f>
        <v>2573037</v>
      </c>
      <c r="E15" s="36">
        <f>SUM(E5:E14)</f>
        <v>2280000</v>
      </c>
    </row>
    <row r="16" spans="1:5" x14ac:dyDescent="0.3">
      <c r="A16" s="5" t="s">
        <v>9</v>
      </c>
      <c r="C16" s="17"/>
      <c r="D16" s="26"/>
      <c r="E16" s="26"/>
    </row>
    <row r="17" spans="1:5" x14ac:dyDescent="0.3">
      <c r="A17" s="5"/>
      <c r="C17" s="17"/>
      <c r="D17" s="26"/>
      <c r="E17" s="26"/>
    </row>
    <row r="18" spans="1:5" x14ac:dyDescent="0.3">
      <c r="A18" s="5" t="s">
        <v>10</v>
      </c>
      <c r="B18" s="8" t="s">
        <v>56</v>
      </c>
      <c r="C18" s="17"/>
      <c r="D18" s="26"/>
      <c r="E18" s="26"/>
    </row>
    <row r="19" spans="1:5" x14ac:dyDescent="0.3">
      <c r="A19" s="5" t="s">
        <v>11</v>
      </c>
      <c r="B19" s="6" t="s">
        <v>70</v>
      </c>
      <c r="C19" s="18">
        <v>-130000</v>
      </c>
      <c r="D19" s="18">
        <v>-210938</v>
      </c>
      <c r="E19" s="35">
        <v>-15000</v>
      </c>
    </row>
    <row r="20" spans="1:5" x14ac:dyDescent="0.3">
      <c r="A20" s="5" t="s">
        <v>12</v>
      </c>
      <c r="B20" s="6" t="s">
        <v>45</v>
      </c>
      <c r="C20" s="18">
        <v>-10000</v>
      </c>
      <c r="D20" s="18">
        <v>-9131</v>
      </c>
      <c r="E20" s="35">
        <v>-10000</v>
      </c>
    </row>
    <row r="21" spans="1:5" x14ac:dyDescent="0.3">
      <c r="A21" s="5"/>
      <c r="B21" s="6" t="s">
        <v>58</v>
      </c>
      <c r="C21" s="18">
        <v>-10000</v>
      </c>
      <c r="D21" s="18">
        <f>-540-1350-25811</f>
        <v>-27701</v>
      </c>
      <c r="E21" s="35">
        <v>-20000</v>
      </c>
    </row>
    <row r="22" spans="1:5" hidden="1" x14ac:dyDescent="0.3">
      <c r="A22" s="5"/>
      <c r="B22" s="6" t="s">
        <v>47</v>
      </c>
      <c r="C22" s="18"/>
      <c r="D22" s="20"/>
      <c r="E22" s="35"/>
    </row>
    <row r="23" spans="1:5" x14ac:dyDescent="0.3">
      <c r="B23" s="6" t="s">
        <v>46</v>
      </c>
      <c r="C23" s="18">
        <v>-5000</v>
      </c>
      <c r="D23" s="18">
        <v>-34049</v>
      </c>
      <c r="E23" s="35">
        <v>-25000</v>
      </c>
    </row>
    <row r="24" spans="1:5" x14ac:dyDescent="0.3">
      <c r="B24" s="6" t="s">
        <v>44</v>
      </c>
      <c r="C24" s="18">
        <v>-7500</v>
      </c>
      <c r="D24" s="18">
        <v>-2511</v>
      </c>
      <c r="E24" s="35">
        <v>-7500</v>
      </c>
    </row>
    <row r="25" spans="1:5" x14ac:dyDescent="0.3">
      <c r="A25" s="5"/>
      <c r="B25" s="6" t="s">
        <v>78</v>
      </c>
      <c r="C25" s="18">
        <v>0</v>
      </c>
      <c r="D25" s="18">
        <v>-118871</v>
      </c>
      <c r="E25" s="35">
        <v>-100000</v>
      </c>
    </row>
    <row r="26" spans="1:5" x14ac:dyDescent="0.3">
      <c r="A26" s="5"/>
      <c r="B26" s="6" t="s">
        <v>60</v>
      </c>
      <c r="C26" s="18">
        <v>-950000</v>
      </c>
      <c r="D26" s="18">
        <v>-922627</v>
      </c>
      <c r="E26" s="35">
        <v>-900000</v>
      </c>
    </row>
    <row r="27" spans="1:5" x14ac:dyDescent="0.3">
      <c r="A27" s="5"/>
      <c r="B27" s="6" t="s">
        <v>43</v>
      </c>
      <c r="C27" s="18">
        <v>-40000</v>
      </c>
      <c r="D27" s="18">
        <v>-6442</v>
      </c>
      <c r="E27" s="35">
        <v>-20000</v>
      </c>
    </row>
    <row r="28" spans="1:5" x14ac:dyDescent="0.3">
      <c r="A28" s="5"/>
      <c r="B28" s="6" t="s">
        <v>14</v>
      </c>
      <c r="C28" s="18">
        <v>0</v>
      </c>
      <c r="D28" s="18">
        <v>-18741</v>
      </c>
      <c r="E28" s="35">
        <v>-20000</v>
      </c>
    </row>
    <row r="29" spans="1:5" x14ac:dyDescent="0.3">
      <c r="A29" s="5"/>
      <c r="B29" s="6" t="s">
        <v>72</v>
      </c>
      <c r="C29" s="18">
        <v>-90000</v>
      </c>
      <c r="D29" s="18">
        <v>-14830</v>
      </c>
      <c r="E29" s="35">
        <v>-35000</v>
      </c>
    </row>
    <row r="30" spans="1:5" x14ac:dyDescent="0.3">
      <c r="A30" s="5"/>
      <c r="B30" s="6" t="s">
        <v>67</v>
      </c>
      <c r="C30" s="18">
        <v>-150000</v>
      </c>
      <c r="D30" s="18">
        <v>-163046</v>
      </c>
      <c r="E30" s="35">
        <v>0</v>
      </c>
    </row>
    <row r="31" spans="1:5" x14ac:dyDescent="0.3">
      <c r="A31" s="5" t="s">
        <v>13</v>
      </c>
      <c r="B31" s="6" t="s">
        <v>42</v>
      </c>
      <c r="C31" s="18">
        <v>-210000</v>
      </c>
      <c r="D31" s="18">
        <v>-374682</v>
      </c>
      <c r="E31" s="35">
        <v>-360000</v>
      </c>
    </row>
    <row r="32" spans="1:5" x14ac:dyDescent="0.3">
      <c r="A32" s="5"/>
      <c r="B32" s="16" t="s">
        <v>36</v>
      </c>
      <c r="C32" s="19">
        <f>SUM(C19:C31)</f>
        <v>-1602500</v>
      </c>
      <c r="D32" s="28">
        <f>SUM(D19:D31)</f>
        <v>-1903569</v>
      </c>
      <c r="E32" s="36">
        <f>SUM(E19:E31)</f>
        <v>-1512500</v>
      </c>
    </row>
    <row r="33" spans="1:5" x14ac:dyDescent="0.3">
      <c r="A33" s="5" t="s">
        <v>16</v>
      </c>
      <c r="C33" s="17"/>
      <c r="D33" s="26"/>
      <c r="E33" s="37"/>
    </row>
    <row r="34" spans="1:5" x14ac:dyDescent="0.3">
      <c r="A34" s="5" t="s">
        <v>17</v>
      </c>
      <c r="B34" s="8" t="s">
        <v>37</v>
      </c>
      <c r="C34" s="17"/>
      <c r="D34" s="26"/>
      <c r="E34" s="37"/>
    </row>
    <row r="35" spans="1:5" x14ac:dyDescent="0.3">
      <c r="A35" s="5"/>
      <c r="B35" s="6" t="s">
        <v>48</v>
      </c>
      <c r="C35" s="18">
        <v>-40000</v>
      </c>
      <c r="D35" s="18">
        <v>-37566</v>
      </c>
      <c r="E35" s="35">
        <v>-40000</v>
      </c>
    </row>
    <row r="36" spans="1:5" x14ac:dyDescent="0.3">
      <c r="A36" s="5" t="s">
        <v>18</v>
      </c>
      <c r="B36" s="6" t="s">
        <v>57</v>
      </c>
      <c r="C36" s="18">
        <v>-5000</v>
      </c>
      <c r="D36" s="18">
        <v>-9042</v>
      </c>
      <c r="E36" s="35">
        <v>-10000</v>
      </c>
    </row>
    <row r="37" spans="1:5" x14ac:dyDescent="0.3">
      <c r="A37" s="5" t="s">
        <v>19</v>
      </c>
      <c r="B37" s="6" t="s">
        <v>15</v>
      </c>
      <c r="C37" s="18">
        <v>-20000</v>
      </c>
      <c r="D37" s="18">
        <v>-13327</v>
      </c>
      <c r="E37" s="35">
        <v>-15000</v>
      </c>
    </row>
    <row r="38" spans="1:5" x14ac:dyDescent="0.3">
      <c r="A38" s="5" t="s">
        <v>21</v>
      </c>
      <c r="B38" s="6" t="s">
        <v>49</v>
      </c>
      <c r="C38" s="18">
        <v>-10000</v>
      </c>
      <c r="D38" s="18">
        <v>-12580</v>
      </c>
      <c r="E38" s="35">
        <v>-15000</v>
      </c>
    </row>
    <row r="39" spans="1:5" x14ac:dyDescent="0.3">
      <c r="B39" s="6" t="s">
        <v>54</v>
      </c>
      <c r="C39" s="18">
        <v>-10000</v>
      </c>
      <c r="D39" s="18">
        <v>-9897</v>
      </c>
      <c r="E39" s="35">
        <v>-10000</v>
      </c>
    </row>
    <row r="40" spans="1:5" x14ac:dyDescent="0.3">
      <c r="B40" s="6" t="s">
        <v>82</v>
      </c>
      <c r="C40" s="18">
        <v>-5000</v>
      </c>
      <c r="D40" s="18">
        <f>-6625-9626-2477</f>
        <v>-18728</v>
      </c>
      <c r="E40" s="35">
        <v>-15000</v>
      </c>
    </row>
    <row r="41" spans="1:5" x14ac:dyDescent="0.3">
      <c r="A41" s="5" t="s">
        <v>23</v>
      </c>
      <c r="B41" s="6" t="s">
        <v>66</v>
      </c>
      <c r="C41" s="18">
        <v>-3000</v>
      </c>
      <c r="D41" s="18">
        <v>-3792</v>
      </c>
      <c r="E41" s="35">
        <v>-5000</v>
      </c>
    </row>
    <row r="42" spans="1:5" x14ac:dyDescent="0.3">
      <c r="A42" s="5" t="s">
        <v>24</v>
      </c>
      <c r="B42" s="6" t="s">
        <v>41</v>
      </c>
      <c r="C42" s="18">
        <v>-2000</v>
      </c>
      <c r="D42" s="18">
        <v>-5095</v>
      </c>
      <c r="E42" s="35">
        <v>-5000</v>
      </c>
    </row>
    <row r="43" spans="1:5" x14ac:dyDescent="0.3">
      <c r="A43" s="5" t="s">
        <v>26</v>
      </c>
      <c r="B43" s="6" t="s">
        <v>61</v>
      </c>
      <c r="C43" s="18">
        <v>-1500</v>
      </c>
      <c r="D43" s="18">
        <f>-1140-171</f>
        <v>-1311</v>
      </c>
      <c r="E43" s="35">
        <v>-1500</v>
      </c>
    </row>
    <row r="44" spans="1:5" x14ac:dyDescent="0.3">
      <c r="A44" s="5"/>
      <c r="B44" s="6" t="s">
        <v>62</v>
      </c>
      <c r="C44" s="18">
        <v>-4000</v>
      </c>
      <c r="D44" s="18">
        <f>-2730-1215</f>
        <v>-3945</v>
      </c>
      <c r="E44" s="35">
        <v>-4000</v>
      </c>
    </row>
    <row r="45" spans="1:5" x14ac:dyDescent="0.3">
      <c r="A45" s="5" t="s">
        <v>27</v>
      </c>
      <c r="B45" s="6" t="s">
        <v>20</v>
      </c>
      <c r="C45" s="18">
        <v>-6000</v>
      </c>
      <c r="D45" s="18">
        <f>-7125-300</f>
        <v>-7425</v>
      </c>
      <c r="E45" s="35">
        <v>-7500</v>
      </c>
    </row>
    <row r="46" spans="1:5" x14ac:dyDescent="0.3">
      <c r="A46" s="7"/>
      <c r="B46" s="6" t="s">
        <v>22</v>
      </c>
      <c r="C46" s="18">
        <v>-14000</v>
      </c>
      <c r="D46" s="18">
        <v>-14007</v>
      </c>
      <c r="E46" s="35">
        <v>-15000</v>
      </c>
    </row>
    <row r="47" spans="1:5" x14ac:dyDescent="0.3">
      <c r="A47" s="9"/>
      <c r="B47" s="6" t="str">
        <f>"Konsultarvode redovisning"</f>
        <v>Konsultarvode redovisning</v>
      </c>
      <c r="C47" s="18">
        <v>-24000</v>
      </c>
      <c r="D47" s="18">
        <v>-28128</v>
      </c>
      <c r="E47" s="35">
        <v>-30000</v>
      </c>
    </row>
    <row r="48" spans="1:5" x14ac:dyDescent="0.3">
      <c r="A48" s="9"/>
      <c r="B48" s="6" t="s">
        <v>25</v>
      </c>
      <c r="C48" s="18">
        <v>-3500</v>
      </c>
      <c r="D48" s="18">
        <v>-8488</v>
      </c>
      <c r="E48" s="35">
        <v>-10000</v>
      </c>
    </row>
    <row r="49" spans="1:5" x14ac:dyDescent="0.3">
      <c r="A49" s="9"/>
      <c r="B49" s="6" t="s">
        <v>50</v>
      </c>
      <c r="C49" s="18">
        <v>-2000</v>
      </c>
      <c r="D49" s="18">
        <v>-1731</v>
      </c>
      <c r="E49" s="35">
        <v>-2000</v>
      </c>
    </row>
    <row r="50" spans="1:5" x14ac:dyDescent="0.3">
      <c r="A50" s="5"/>
      <c r="B50" s="6" t="s">
        <v>28</v>
      </c>
      <c r="C50" s="18">
        <v>-1000</v>
      </c>
      <c r="D50" s="18">
        <v>500</v>
      </c>
      <c r="E50" s="35">
        <v>-1000</v>
      </c>
    </row>
    <row r="51" spans="1:5" x14ac:dyDescent="0.3">
      <c r="A51" s="5" t="s">
        <v>29</v>
      </c>
      <c r="B51" s="6" t="s">
        <v>53</v>
      </c>
      <c r="C51" s="18">
        <v>-25000</v>
      </c>
      <c r="D51" s="18">
        <f>-21128-4500+21272+19549-625</f>
        <v>14568</v>
      </c>
      <c r="E51" s="35">
        <v>-10000</v>
      </c>
    </row>
    <row r="52" spans="1:5" x14ac:dyDescent="0.3">
      <c r="A52" s="5" t="s">
        <v>31</v>
      </c>
      <c r="B52" s="6" t="s">
        <v>68</v>
      </c>
      <c r="C52" s="18"/>
      <c r="D52" s="18">
        <f>10179+86-180-278</f>
        <v>9807</v>
      </c>
      <c r="E52" s="35">
        <v>10000</v>
      </c>
    </row>
    <row r="53" spans="1:5" x14ac:dyDescent="0.3">
      <c r="A53" s="5" t="s">
        <v>32</v>
      </c>
      <c r="B53" s="16" t="s">
        <v>38</v>
      </c>
      <c r="C53" s="19">
        <f>SUM(C35:C52)</f>
        <v>-176000</v>
      </c>
      <c r="D53" s="28">
        <f>SUM(D35:D52)</f>
        <v>-150187</v>
      </c>
      <c r="E53" s="36">
        <f>SUM(E35:E52)</f>
        <v>-186000</v>
      </c>
    </row>
    <row r="54" spans="1:5" x14ac:dyDescent="0.3">
      <c r="A54" s="5" t="s">
        <v>33</v>
      </c>
      <c r="B54" s="6"/>
      <c r="C54" s="17"/>
      <c r="D54" s="26"/>
      <c r="E54" s="37"/>
    </row>
    <row r="55" spans="1:5" x14ac:dyDescent="0.3">
      <c r="A55" s="7"/>
      <c r="B55" s="10" t="s">
        <v>51</v>
      </c>
      <c r="C55" s="17"/>
      <c r="D55" s="26"/>
      <c r="E55" s="37"/>
    </row>
    <row r="56" spans="1:5" x14ac:dyDescent="0.3">
      <c r="A56" s="9"/>
      <c r="B56" s="6" t="s">
        <v>30</v>
      </c>
      <c r="C56" s="18">
        <v>-315000</v>
      </c>
      <c r="D56" s="18">
        <v>-327696</v>
      </c>
      <c r="E56" s="35">
        <f>(-39000*12)*75%</f>
        <v>-351000</v>
      </c>
    </row>
    <row r="57" spans="1:5" x14ac:dyDescent="0.3">
      <c r="A57" s="2"/>
      <c r="B57" s="6" t="s">
        <v>81</v>
      </c>
      <c r="C57" s="18">
        <v>0</v>
      </c>
      <c r="D57" s="18">
        <f>-74974-9474</f>
        <v>-84448</v>
      </c>
      <c r="E57" s="35">
        <v>0</v>
      </c>
    </row>
    <row r="58" spans="1:5" x14ac:dyDescent="0.3">
      <c r="A58" s="2"/>
      <c r="B58" s="6" t="s">
        <v>79</v>
      </c>
      <c r="C58" s="18">
        <v>-37800</v>
      </c>
      <c r="D58" s="18">
        <f>-42696-33500</f>
        <v>-76196</v>
      </c>
      <c r="E58" s="35">
        <f>E56*12%</f>
        <v>-42120</v>
      </c>
    </row>
    <row r="59" spans="1:5" x14ac:dyDescent="0.3">
      <c r="A59" s="2"/>
      <c r="B59" s="6" t="s">
        <v>80</v>
      </c>
      <c r="C59" s="18">
        <v>-37800</v>
      </c>
      <c r="D59" s="18">
        <v>-42390</v>
      </c>
      <c r="E59" s="35">
        <f>E56*12%</f>
        <v>-42120</v>
      </c>
    </row>
    <row r="60" spans="1:5" x14ac:dyDescent="0.3">
      <c r="A60" s="11"/>
      <c r="B60" s="6" t="s">
        <v>52</v>
      </c>
      <c r="C60" s="18">
        <v>-110850</v>
      </c>
      <c r="D60" s="18">
        <f>-110721-11660</f>
        <v>-122381</v>
      </c>
      <c r="E60" s="35">
        <f>E56*32.46%</f>
        <v>-113934.6</v>
      </c>
    </row>
    <row r="61" spans="1:5" x14ac:dyDescent="0.3">
      <c r="A61" s="12"/>
      <c r="B61" s="6" t="s">
        <v>53</v>
      </c>
      <c r="C61" s="18">
        <v>-7500</v>
      </c>
      <c r="D61" s="18">
        <v>-533</v>
      </c>
      <c r="E61" s="35">
        <v>-5000</v>
      </c>
    </row>
    <row r="62" spans="1:5" x14ac:dyDescent="0.3">
      <c r="B62" s="16" t="s">
        <v>39</v>
      </c>
      <c r="C62" s="19">
        <f>SUM(C56:C61)</f>
        <v>-508950</v>
      </c>
      <c r="D62" s="28">
        <f>SUM(D56:D61)</f>
        <v>-653644</v>
      </c>
      <c r="E62" s="36">
        <f>SUM(E56:E61)</f>
        <v>-554174.6</v>
      </c>
    </row>
    <row r="63" spans="1:5" x14ac:dyDescent="0.3">
      <c r="B63" s="6"/>
      <c r="C63" s="17"/>
      <c r="D63" s="26"/>
      <c r="E63" s="37"/>
    </row>
    <row r="64" spans="1:5" x14ac:dyDescent="0.3">
      <c r="B64" s="6" t="s">
        <v>71</v>
      </c>
      <c r="C64" s="18">
        <v>-14200</v>
      </c>
      <c r="D64" s="18">
        <v>-14200</v>
      </c>
      <c r="E64" s="35">
        <v>-14200</v>
      </c>
    </row>
    <row r="65" spans="2:5" x14ac:dyDescent="0.3">
      <c r="C65" s="17"/>
      <c r="D65" s="26"/>
      <c r="E65" s="37"/>
    </row>
    <row r="66" spans="2:5" ht="15" thickBot="1" x14ac:dyDescent="0.35">
      <c r="B66" s="13" t="s">
        <v>55</v>
      </c>
      <c r="C66" s="21">
        <f>C15+C32+C53+C62+C64</f>
        <v>3350</v>
      </c>
      <c r="D66" s="29">
        <f>D15+D32+D53+D62+D64</f>
        <v>-148563</v>
      </c>
      <c r="E66" s="38">
        <f>E15+E32+E53+E62+E64</f>
        <v>13125.400000000023</v>
      </c>
    </row>
    <row r="67" spans="2:5" x14ac:dyDescent="0.3">
      <c r="B67" s="14"/>
    </row>
    <row r="68" spans="2:5" x14ac:dyDescent="0.3">
      <c r="B68" s="15"/>
    </row>
  </sheetData>
  <pageMargins left="0.25" right="0.25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9222D-95C3-4D82-903C-4D14E6479334}">
  <sheetPr>
    <pageSetUpPr fitToPage="1"/>
  </sheetPr>
  <dimension ref="A1:R27"/>
  <sheetViews>
    <sheetView zoomScale="110" zoomScaleNormal="110" workbookViewId="0">
      <pane xSplit="1" ySplit="3" topLeftCell="B4" activePane="bottomRight" state="frozen"/>
      <selection activeCell="B1" sqref="B1"/>
      <selection pane="topRight" activeCell="C1" sqref="C1"/>
      <selection pane="bottomLeft" activeCell="B4" sqref="B4"/>
      <selection pane="bottomRight"/>
    </sheetView>
  </sheetViews>
  <sheetFormatPr defaultColWidth="8.88671875" defaultRowHeight="14.4" x14ac:dyDescent="0.3"/>
  <cols>
    <col min="1" max="1" width="36.5546875" style="1" bestFit="1" customWidth="1"/>
    <col min="2" max="2" width="14.33203125" style="1" customWidth="1"/>
    <col min="3" max="4" width="14.33203125" style="24" customWidth="1"/>
    <col min="5" max="5" width="14.33203125" style="1" customWidth="1"/>
    <col min="6" max="7" width="14.33203125" style="24" customWidth="1"/>
    <col min="8" max="8" width="14.33203125" style="1" customWidth="1"/>
    <col min="9" max="10" width="14.33203125" style="24" customWidth="1"/>
    <col min="11" max="11" width="14.33203125" style="1" customWidth="1"/>
    <col min="12" max="13" width="14.33203125" style="24" customWidth="1"/>
    <col min="14" max="14" width="15.88671875" style="24" customWidth="1"/>
    <col min="15" max="15" width="9.6640625" style="1" bestFit="1" customWidth="1"/>
    <col min="16" max="16" width="18.33203125" style="24" customWidth="1"/>
    <col min="17" max="17" width="9.5546875" style="1" bestFit="1" customWidth="1"/>
    <col min="18" max="18" width="15.5546875" style="24" customWidth="1"/>
    <col min="19" max="19" width="26" style="1" customWidth="1"/>
    <col min="20" max="20" width="37.109375" style="1" bestFit="1" customWidth="1"/>
    <col min="21" max="21" width="10.33203125" style="1" bestFit="1" customWidth="1"/>
    <col min="22" max="16384" width="8.88671875" style="1"/>
  </cols>
  <sheetData>
    <row r="1" spans="1:18" ht="54" thickBot="1" x14ac:dyDescent="0.45">
      <c r="A1" s="45" t="s">
        <v>83</v>
      </c>
      <c r="P1" s="43" t="s">
        <v>125</v>
      </c>
    </row>
    <row r="2" spans="1:18" ht="15" thickBot="1" x14ac:dyDescent="0.35">
      <c r="A2" s="2"/>
    </row>
    <row r="3" spans="1:18" ht="28.8" x14ac:dyDescent="0.3">
      <c r="A3" s="22" t="s">
        <v>34</v>
      </c>
      <c r="B3" s="30" t="s">
        <v>84</v>
      </c>
      <c r="C3" s="30" t="s">
        <v>85</v>
      </c>
      <c r="D3" s="30" t="s">
        <v>86</v>
      </c>
      <c r="E3" s="30" t="s">
        <v>105</v>
      </c>
      <c r="F3" s="30" t="s">
        <v>93</v>
      </c>
      <c r="G3" s="30" t="s">
        <v>94</v>
      </c>
      <c r="H3" s="30" t="s">
        <v>97</v>
      </c>
      <c r="I3" s="30" t="s">
        <v>98</v>
      </c>
      <c r="J3" s="30" t="s">
        <v>95</v>
      </c>
      <c r="K3" s="30" t="s">
        <v>99</v>
      </c>
      <c r="L3" s="30" t="s">
        <v>96</v>
      </c>
      <c r="M3" s="30" t="s">
        <v>100</v>
      </c>
      <c r="N3" s="44" t="s">
        <v>103</v>
      </c>
      <c r="P3" s="30" t="s">
        <v>101</v>
      </c>
      <c r="R3" s="44" t="s">
        <v>102</v>
      </c>
    </row>
    <row r="4" spans="1:18" x14ac:dyDescent="0.3">
      <c r="A4" s="4"/>
      <c r="B4" s="17"/>
      <c r="C4" s="17"/>
      <c r="D4" s="17"/>
      <c r="E4" s="17"/>
      <c r="F4" s="26"/>
      <c r="G4" s="26"/>
      <c r="H4" s="17"/>
      <c r="I4" s="26"/>
      <c r="J4" s="17"/>
      <c r="K4" s="17"/>
      <c r="L4" s="26"/>
      <c r="M4" s="26"/>
      <c r="N4" s="32"/>
      <c r="P4" s="26"/>
      <c r="R4" s="26"/>
    </row>
    <row r="5" spans="1:18" x14ac:dyDescent="0.3">
      <c r="A5" s="6" t="s">
        <v>106</v>
      </c>
      <c r="B5" s="18">
        <v>252983</v>
      </c>
      <c r="C5" s="18">
        <v>56246</v>
      </c>
      <c r="D5" s="18">
        <v>74966</v>
      </c>
      <c r="E5" s="18">
        <v>80870</v>
      </c>
      <c r="F5" s="18">
        <v>66258</v>
      </c>
      <c r="G5" s="18">
        <v>4291</v>
      </c>
      <c r="H5" s="18">
        <v>5258</v>
      </c>
      <c r="I5" s="18">
        <v>2975</v>
      </c>
      <c r="J5" s="18">
        <v>12625</v>
      </c>
      <c r="K5" s="18">
        <v>5785</v>
      </c>
      <c r="L5" s="18">
        <v>2815</v>
      </c>
      <c r="M5" s="18">
        <v>0</v>
      </c>
      <c r="N5" s="33">
        <f>SUM(B5:M5)</f>
        <v>565072</v>
      </c>
      <c r="P5" s="18">
        <v>101520</v>
      </c>
      <c r="R5" s="33">
        <f>N5+P5</f>
        <v>666592</v>
      </c>
    </row>
    <row r="6" spans="1:18" x14ac:dyDescent="0.3">
      <c r="A6" s="6" t="s">
        <v>90</v>
      </c>
      <c r="B6" s="18">
        <v>181250</v>
      </c>
      <c r="C6" s="18">
        <v>163950</v>
      </c>
      <c r="D6" s="18">
        <v>49900</v>
      </c>
      <c r="E6" s="18">
        <v>402105</v>
      </c>
      <c r="F6" s="18">
        <v>49250</v>
      </c>
      <c r="G6" s="18">
        <v>6900</v>
      </c>
      <c r="H6" s="18">
        <v>0</v>
      </c>
      <c r="I6" s="18">
        <v>11850</v>
      </c>
      <c r="J6" s="18">
        <v>0</v>
      </c>
      <c r="K6" s="18">
        <v>0</v>
      </c>
      <c r="L6" s="18">
        <v>0</v>
      </c>
      <c r="M6" s="18">
        <v>0</v>
      </c>
      <c r="N6" s="33">
        <f t="shared" ref="N6:N8" si="0">SUM(B6:M6)</f>
        <v>865205</v>
      </c>
      <c r="P6" s="18">
        <v>315700</v>
      </c>
      <c r="R6" s="33">
        <f t="shared" ref="R6:R8" si="1">N6+P6</f>
        <v>1180905</v>
      </c>
    </row>
    <row r="7" spans="1:18" x14ac:dyDescent="0.3">
      <c r="A7" s="6" t="s">
        <v>91</v>
      </c>
      <c r="B7" s="18">
        <v>177917</v>
      </c>
      <c r="C7" s="18">
        <v>49337</v>
      </c>
      <c r="D7" s="18">
        <v>12308</v>
      </c>
      <c r="E7" s="18">
        <v>0</v>
      </c>
      <c r="F7" s="18">
        <v>47055</v>
      </c>
      <c r="G7" s="18">
        <v>0</v>
      </c>
      <c r="H7" s="18">
        <v>3740</v>
      </c>
      <c r="I7" s="18">
        <v>0</v>
      </c>
      <c r="J7" s="18">
        <v>0</v>
      </c>
      <c r="K7" s="18">
        <v>573</v>
      </c>
      <c r="L7" s="18">
        <v>0</v>
      </c>
      <c r="M7" s="18">
        <v>0</v>
      </c>
      <c r="N7" s="33">
        <f t="shared" si="0"/>
        <v>290930</v>
      </c>
      <c r="P7" s="18">
        <v>150868</v>
      </c>
      <c r="R7" s="33">
        <f t="shared" si="1"/>
        <v>441798</v>
      </c>
    </row>
    <row r="8" spans="1:18" x14ac:dyDescent="0.3">
      <c r="A8" s="6" t="s">
        <v>64</v>
      </c>
      <c r="B8" s="18">
        <v>326515</v>
      </c>
      <c r="C8" s="18">
        <v>562866</v>
      </c>
      <c r="D8" s="18">
        <v>3716</v>
      </c>
      <c r="E8" s="18">
        <v>0</v>
      </c>
      <c r="F8" s="18">
        <v>60418</v>
      </c>
      <c r="G8" s="18">
        <v>0</v>
      </c>
      <c r="H8" s="18">
        <v>0</v>
      </c>
      <c r="I8" s="18">
        <v>0</v>
      </c>
      <c r="J8" s="18">
        <v>209445</v>
      </c>
      <c r="K8" s="18">
        <v>0</v>
      </c>
      <c r="L8" s="18">
        <v>0</v>
      </c>
      <c r="M8" s="18">
        <v>0</v>
      </c>
      <c r="N8" s="33">
        <f t="shared" si="0"/>
        <v>1162960</v>
      </c>
      <c r="P8" s="18">
        <v>2004949</v>
      </c>
      <c r="R8" s="33">
        <f t="shared" si="1"/>
        <v>3167909</v>
      </c>
    </row>
    <row r="9" spans="1:18" x14ac:dyDescent="0.3">
      <c r="A9" s="6"/>
      <c r="B9" s="18"/>
      <c r="C9" s="18"/>
      <c r="D9" s="18"/>
      <c r="E9" s="18"/>
      <c r="F9" s="18"/>
      <c r="G9" s="20"/>
      <c r="H9" s="18"/>
      <c r="I9" s="18"/>
      <c r="J9" s="18"/>
      <c r="K9" s="18"/>
      <c r="L9" s="18"/>
      <c r="M9" s="18"/>
      <c r="N9" s="33"/>
      <c r="P9" s="18"/>
      <c r="R9" s="20"/>
    </row>
    <row r="10" spans="1:18" x14ac:dyDescent="0.3">
      <c r="A10" s="16" t="s">
        <v>104</v>
      </c>
      <c r="B10" s="19">
        <f t="shared" ref="B10:N10" si="2">SUM(B5:B9)</f>
        <v>938665</v>
      </c>
      <c r="C10" s="28">
        <f t="shared" si="2"/>
        <v>832399</v>
      </c>
      <c r="D10" s="28">
        <f t="shared" si="2"/>
        <v>140890</v>
      </c>
      <c r="E10" s="28">
        <f t="shared" si="2"/>
        <v>482975</v>
      </c>
      <c r="F10" s="28">
        <f t="shared" si="2"/>
        <v>222981</v>
      </c>
      <c r="G10" s="28">
        <f t="shared" si="2"/>
        <v>11191</v>
      </c>
      <c r="H10" s="28">
        <f t="shared" si="2"/>
        <v>8998</v>
      </c>
      <c r="I10" s="28">
        <f t="shared" si="2"/>
        <v>14825</v>
      </c>
      <c r="J10" s="28">
        <f t="shared" si="2"/>
        <v>222070</v>
      </c>
      <c r="K10" s="28">
        <f t="shared" si="2"/>
        <v>6358</v>
      </c>
      <c r="L10" s="28">
        <f t="shared" si="2"/>
        <v>2815</v>
      </c>
      <c r="M10" s="28">
        <f t="shared" si="2"/>
        <v>0</v>
      </c>
      <c r="N10" s="28">
        <f t="shared" si="2"/>
        <v>2884167</v>
      </c>
      <c r="P10" s="28">
        <f>SUM(P5:P9)</f>
        <v>2573037</v>
      </c>
      <c r="R10" s="28">
        <f>SUM(R5:R9)</f>
        <v>5457204</v>
      </c>
    </row>
    <row r="11" spans="1:18" x14ac:dyDescent="0.3">
      <c r="B11" s="17"/>
      <c r="C11" s="17"/>
      <c r="D11" s="17"/>
      <c r="E11" s="17"/>
      <c r="F11" s="26"/>
      <c r="G11" s="26"/>
      <c r="H11" s="17"/>
      <c r="I11" s="26"/>
      <c r="J11" s="17"/>
      <c r="K11" s="17"/>
      <c r="L11" s="26"/>
      <c r="M11" s="26"/>
      <c r="N11" s="32"/>
      <c r="P11" s="26"/>
      <c r="R11" s="26"/>
    </row>
    <row r="12" spans="1:18" ht="28.2" customHeight="1" x14ac:dyDescent="0.3">
      <c r="A12" s="22" t="s">
        <v>56</v>
      </c>
      <c r="B12" s="31"/>
      <c r="C12" s="31"/>
      <c r="D12" s="31"/>
      <c r="E12" s="31"/>
      <c r="F12" s="31"/>
      <c r="G12" s="31"/>
      <c r="H12" s="17"/>
      <c r="I12" s="26"/>
      <c r="J12" s="17"/>
      <c r="K12" s="17"/>
      <c r="L12" s="26"/>
      <c r="M12" s="26"/>
      <c r="N12" s="32"/>
      <c r="P12" s="26"/>
      <c r="R12" s="26"/>
    </row>
    <row r="13" spans="1:18" x14ac:dyDescent="0.3">
      <c r="A13" s="6" t="s">
        <v>87</v>
      </c>
      <c r="B13" s="18">
        <v>220492</v>
      </c>
      <c r="C13" s="18">
        <v>403107</v>
      </c>
      <c r="D13" s="18">
        <v>52204</v>
      </c>
      <c r="E13" s="18">
        <v>77190</v>
      </c>
      <c r="F13" s="18">
        <v>24256</v>
      </c>
      <c r="G13" s="18">
        <v>4588</v>
      </c>
      <c r="H13" s="18">
        <v>0</v>
      </c>
      <c r="I13" s="18">
        <v>3064</v>
      </c>
      <c r="J13" s="18">
        <f>183402+50362</f>
        <v>233764</v>
      </c>
      <c r="K13" s="18">
        <v>1528</v>
      </c>
      <c r="L13" s="18">
        <v>1012</v>
      </c>
      <c r="M13" s="18">
        <v>0</v>
      </c>
      <c r="N13" s="33">
        <f t="shared" ref="N13:N19" si="3">SUM(B13:M13)</f>
        <v>1021205</v>
      </c>
      <c r="P13" s="18">
        <v>210938</v>
      </c>
      <c r="R13" s="33">
        <f t="shared" ref="R13:R19" si="4">N13+P13</f>
        <v>1232143</v>
      </c>
    </row>
    <row r="14" spans="1:18" x14ac:dyDescent="0.3">
      <c r="A14" s="6" t="s">
        <v>48</v>
      </c>
      <c r="B14" s="18">
        <v>140769</v>
      </c>
      <c r="C14" s="18">
        <v>92138</v>
      </c>
      <c r="D14" s="18">
        <v>37513</v>
      </c>
      <c r="E14" s="18">
        <v>141321</v>
      </c>
      <c r="F14" s="18">
        <v>40670</v>
      </c>
      <c r="G14" s="18">
        <v>1290</v>
      </c>
      <c r="H14" s="18">
        <v>3500</v>
      </c>
      <c r="I14" s="18">
        <v>8077</v>
      </c>
      <c r="J14" s="18">
        <v>0</v>
      </c>
      <c r="K14" s="18">
        <v>5332</v>
      </c>
      <c r="L14" s="18">
        <v>0</v>
      </c>
      <c r="M14" s="18">
        <v>0</v>
      </c>
      <c r="N14" s="33">
        <f t="shared" si="3"/>
        <v>470610</v>
      </c>
      <c r="P14" s="18">
        <v>37566</v>
      </c>
      <c r="R14" s="33">
        <f t="shared" si="4"/>
        <v>508176</v>
      </c>
    </row>
    <row r="15" spans="1:18" x14ac:dyDescent="0.3">
      <c r="A15" s="6" t="s">
        <v>88</v>
      </c>
      <c r="B15" s="18">
        <v>104788</v>
      </c>
      <c r="C15" s="18">
        <v>55870</v>
      </c>
      <c r="D15" s="18">
        <v>17107</v>
      </c>
      <c r="E15" s="18">
        <v>0</v>
      </c>
      <c r="F15" s="18">
        <v>31613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33">
        <f t="shared" si="3"/>
        <v>209378</v>
      </c>
      <c r="P15" s="18">
        <v>0</v>
      </c>
      <c r="R15" s="33">
        <f t="shared" si="4"/>
        <v>209378</v>
      </c>
    </row>
    <row r="16" spans="1:18" hidden="1" x14ac:dyDescent="0.3">
      <c r="A16" s="6" t="s">
        <v>47</v>
      </c>
      <c r="B16" s="18"/>
      <c r="C16" s="18"/>
      <c r="D16" s="18"/>
      <c r="E16" s="18"/>
      <c r="F16" s="18"/>
      <c r="G16" s="18"/>
      <c r="H16" s="18"/>
      <c r="I16" s="20"/>
      <c r="J16" s="18"/>
      <c r="K16" s="18"/>
      <c r="L16" s="20"/>
      <c r="M16" s="20"/>
      <c r="N16" s="33">
        <f t="shared" si="3"/>
        <v>0</v>
      </c>
      <c r="P16" s="20"/>
      <c r="R16" s="33">
        <f t="shared" si="4"/>
        <v>0</v>
      </c>
    </row>
    <row r="17" spans="1:18" x14ac:dyDescent="0.3">
      <c r="A17" s="6" t="s">
        <v>89</v>
      </c>
      <c r="B17" s="18">
        <v>86200</v>
      </c>
      <c r="C17" s="18">
        <v>0</v>
      </c>
      <c r="D17" s="18">
        <v>0</v>
      </c>
      <c r="E17" s="18">
        <v>0</v>
      </c>
      <c r="F17" s="18">
        <v>10000</v>
      </c>
      <c r="G17" s="18">
        <v>0</v>
      </c>
      <c r="H17" s="18">
        <v>12900</v>
      </c>
      <c r="I17" s="18">
        <v>0</v>
      </c>
      <c r="J17" s="18">
        <v>0</v>
      </c>
      <c r="K17" s="18">
        <v>2748</v>
      </c>
      <c r="L17" s="18">
        <v>0</v>
      </c>
      <c r="M17" s="18">
        <v>0</v>
      </c>
      <c r="N17" s="33">
        <f t="shared" si="3"/>
        <v>111848</v>
      </c>
      <c r="P17" s="18">
        <v>0</v>
      </c>
      <c r="R17" s="33">
        <f t="shared" si="4"/>
        <v>111848</v>
      </c>
    </row>
    <row r="18" spans="1:18" x14ac:dyDescent="0.3">
      <c r="A18" s="6" t="s">
        <v>51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33">
        <f t="shared" si="3"/>
        <v>0</v>
      </c>
      <c r="P18" s="18">
        <v>653644</v>
      </c>
      <c r="R18" s="33">
        <f t="shared" si="4"/>
        <v>653644</v>
      </c>
    </row>
    <row r="19" spans="1:18" x14ac:dyDescent="0.3">
      <c r="A19" s="6" t="s">
        <v>53</v>
      </c>
      <c r="B19" s="18">
        <v>454038</v>
      </c>
      <c r="C19" s="18">
        <v>390785</v>
      </c>
      <c r="D19" s="18">
        <v>62012</v>
      </c>
      <c r="E19" s="18">
        <v>316248</v>
      </c>
      <c r="F19" s="18">
        <v>123518</v>
      </c>
      <c r="G19" s="18">
        <v>5090</v>
      </c>
      <c r="H19" s="18">
        <v>20080</v>
      </c>
      <c r="I19" s="18">
        <v>1809</v>
      </c>
      <c r="J19" s="18">
        <v>86895</v>
      </c>
      <c r="K19" s="18">
        <v>0</v>
      </c>
      <c r="L19" s="18">
        <v>0</v>
      </c>
      <c r="M19" s="18">
        <v>0</v>
      </c>
      <c r="N19" s="33">
        <f t="shared" si="3"/>
        <v>1460475</v>
      </c>
      <c r="P19" s="18">
        <v>1805252</v>
      </c>
      <c r="R19" s="33">
        <f t="shared" si="4"/>
        <v>3265727</v>
      </c>
    </row>
    <row r="20" spans="1:18" x14ac:dyDescent="0.3">
      <c r="A20" s="6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33"/>
      <c r="P20" s="18"/>
      <c r="R20" s="20"/>
    </row>
    <row r="21" spans="1:18" x14ac:dyDescent="0.3">
      <c r="A21" s="16" t="s">
        <v>92</v>
      </c>
      <c r="B21" s="19">
        <f t="shared" ref="B21:N21" si="5">SUM(B13:B20)</f>
        <v>1006287</v>
      </c>
      <c r="C21" s="28">
        <f t="shared" si="5"/>
        <v>941900</v>
      </c>
      <c r="D21" s="28">
        <f t="shared" si="5"/>
        <v>168836</v>
      </c>
      <c r="E21" s="28">
        <f t="shared" si="5"/>
        <v>534759</v>
      </c>
      <c r="F21" s="28">
        <f t="shared" si="5"/>
        <v>230057</v>
      </c>
      <c r="G21" s="28">
        <f t="shared" si="5"/>
        <v>10968</v>
      </c>
      <c r="H21" s="28">
        <f t="shared" si="5"/>
        <v>36480</v>
      </c>
      <c r="I21" s="28">
        <f t="shared" si="5"/>
        <v>12950</v>
      </c>
      <c r="J21" s="28">
        <f t="shared" si="5"/>
        <v>320659</v>
      </c>
      <c r="K21" s="28">
        <f t="shared" si="5"/>
        <v>9608</v>
      </c>
      <c r="L21" s="28">
        <f t="shared" si="5"/>
        <v>1012</v>
      </c>
      <c r="M21" s="28">
        <f t="shared" si="5"/>
        <v>0</v>
      </c>
      <c r="N21" s="28">
        <f t="shared" si="5"/>
        <v>3273516</v>
      </c>
      <c r="P21" s="28">
        <f>SUM(P13:P20)</f>
        <v>2707400</v>
      </c>
      <c r="R21" s="28">
        <f>SUM(R13:R20)</f>
        <v>5980916</v>
      </c>
    </row>
    <row r="22" spans="1:18" x14ac:dyDescent="0.3">
      <c r="B22" s="17"/>
      <c r="C22" s="26"/>
      <c r="D22" s="26"/>
      <c r="E22" s="17"/>
      <c r="F22" s="26"/>
      <c r="G22" s="26"/>
      <c r="H22" s="17"/>
      <c r="I22" s="26"/>
      <c r="J22" s="26"/>
      <c r="K22" s="17"/>
      <c r="L22" s="26"/>
      <c r="M22" s="26"/>
      <c r="N22" s="26"/>
      <c r="P22" s="31"/>
      <c r="R22" s="26"/>
    </row>
    <row r="23" spans="1:18" x14ac:dyDescent="0.3">
      <c r="A23" s="6" t="s">
        <v>71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33">
        <f t="shared" ref="N23" si="6">SUM(B23:M23)</f>
        <v>0</v>
      </c>
      <c r="P23" s="18">
        <v>14200</v>
      </c>
      <c r="R23" s="33">
        <f t="shared" ref="R23" si="7">N23+P23</f>
        <v>14200</v>
      </c>
    </row>
    <row r="24" spans="1:18" x14ac:dyDescent="0.3">
      <c r="B24" s="17"/>
      <c r="C24" s="26"/>
      <c r="D24" s="26"/>
      <c r="E24" s="17"/>
      <c r="F24" s="26"/>
      <c r="G24" s="26"/>
      <c r="H24" s="17"/>
      <c r="I24" s="17"/>
      <c r="J24" s="26"/>
      <c r="K24" s="17"/>
      <c r="L24" s="26"/>
      <c r="M24" s="26"/>
      <c r="N24" s="26"/>
      <c r="P24" s="31"/>
      <c r="R24" s="26"/>
    </row>
    <row r="25" spans="1:18" ht="15" thickBot="1" x14ac:dyDescent="0.35">
      <c r="A25" s="13" t="s">
        <v>55</v>
      </c>
      <c r="B25" s="27">
        <f t="shared" ref="B25:N25" si="8">B10-B21</f>
        <v>-67622</v>
      </c>
      <c r="C25" s="27">
        <f t="shared" si="8"/>
        <v>-109501</v>
      </c>
      <c r="D25" s="27">
        <f t="shared" si="8"/>
        <v>-27946</v>
      </c>
      <c r="E25" s="27">
        <f t="shared" si="8"/>
        <v>-51784</v>
      </c>
      <c r="F25" s="27">
        <f t="shared" si="8"/>
        <v>-7076</v>
      </c>
      <c r="G25" s="21">
        <f t="shared" si="8"/>
        <v>223</v>
      </c>
      <c r="H25" s="27">
        <f t="shared" si="8"/>
        <v>-27482</v>
      </c>
      <c r="I25" s="21">
        <f t="shared" si="8"/>
        <v>1875</v>
      </c>
      <c r="J25" s="27">
        <f t="shared" si="8"/>
        <v>-98589</v>
      </c>
      <c r="K25" s="27">
        <f t="shared" si="8"/>
        <v>-3250</v>
      </c>
      <c r="L25" s="21">
        <f t="shared" si="8"/>
        <v>1803</v>
      </c>
      <c r="M25" s="21">
        <f t="shared" si="8"/>
        <v>0</v>
      </c>
      <c r="N25" s="27">
        <f t="shared" si="8"/>
        <v>-389349</v>
      </c>
      <c r="P25" s="27">
        <f>P10-P21-P23</f>
        <v>-148563</v>
      </c>
      <c r="R25" s="27">
        <f>R10-R21-R23</f>
        <v>-537912</v>
      </c>
    </row>
    <row r="26" spans="1:18" x14ac:dyDescent="0.3">
      <c r="A26" s="14"/>
    </row>
    <row r="27" spans="1:18" x14ac:dyDescent="0.3">
      <c r="A27" s="15"/>
    </row>
  </sheetData>
  <pageMargins left="0.25" right="0.25" top="0.75" bottom="0.75" header="0.3" footer="0.3"/>
  <pageSetup paperSize="9" fitToHeight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628DA-43C9-4909-B2D9-B7640DE5A056}">
  <dimension ref="A1:G32"/>
  <sheetViews>
    <sheetView zoomScale="120" zoomScaleNormal="120" workbookViewId="0">
      <selection sqref="A1:F1"/>
    </sheetView>
  </sheetViews>
  <sheetFormatPr defaultRowHeight="14.4" x14ac:dyDescent="0.3"/>
  <cols>
    <col min="1" max="1" width="20.109375" bestFit="1" customWidth="1"/>
    <col min="2" max="2" width="11.44140625" bestFit="1" customWidth="1"/>
    <col min="3" max="3" width="3.88671875" customWidth="1"/>
    <col min="4" max="4" width="10.6640625" bestFit="1" customWidth="1"/>
    <col min="5" max="5" width="4.44140625" customWidth="1"/>
    <col min="6" max="6" width="11.44140625" bestFit="1" customWidth="1"/>
  </cols>
  <sheetData>
    <row r="1" spans="1:7" ht="52.2" customHeight="1" thickBot="1" x14ac:dyDescent="0.45">
      <c r="A1" s="48" t="s">
        <v>107</v>
      </c>
      <c r="B1" s="49"/>
      <c r="C1" s="49"/>
      <c r="D1" s="49"/>
      <c r="E1" s="49"/>
      <c r="F1" s="50"/>
    </row>
    <row r="2" spans="1:7" ht="15" thickBot="1" x14ac:dyDescent="0.35">
      <c r="A2" s="46" t="s">
        <v>108</v>
      </c>
      <c r="B2" s="51">
        <v>44927</v>
      </c>
      <c r="C2" s="47"/>
      <c r="D2" s="47" t="s">
        <v>109</v>
      </c>
      <c r="E2" s="47"/>
      <c r="F2" s="52">
        <v>45291</v>
      </c>
      <c r="G2" s="39"/>
    </row>
    <row r="3" spans="1:7" x14ac:dyDescent="0.3">
      <c r="A3" t="s">
        <v>110</v>
      </c>
      <c r="B3" s="53">
        <v>328397.90000000002</v>
      </c>
      <c r="C3" s="53"/>
      <c r="D3" s="53">
        <f>-B3+F3</f>
        <v>-226681.03000000003</v>
      </c>
      <c r="E3" s="53"/>
      <c r="F3" s="53">
        <v>101716.87</v>
      </c>
      <c r="G3" s="40"/>
    </row>
    <row r="4" spans="1:7" x14ac:dyDescent="0.3">
      <c r="A4" t="s">
        <v>111</v>
      </c>
      <c r="B4" s="53">
        <v>63250.879999999997</v>
      </c>
      <c r="C4" s="53"/>
      <c r="D4" s="53">
        <f t="shared" ref="D4:D10" si="0">-B4+F4</f>
        <v>2217</v>
      </c>
      <c r="E4" s="53"/>
      <c r="F4" s="53">
        <v>65467.88</v>
      </c>
      <c r="G4" s="40"/>
    </row>
    <row r="5" spans="1:7" x14ac:dyDescent="0.3">
      <c r="A5" t="s">
        <v>112</v>
      </c>
      <c r="B5" s="53">
        <v>0</v>
      </c>
      <c r="C5" s="53"/>
      <c r="D5" s="53">
        <f t="shared" si="0"/>
        <v>135000</v>
      </c>
      <c r="E5" s="53"/>
      <c r="F5" s="53">
        <v>135000</v>
      </c>
      <c r="G5" s="40"/>
    </row>
    <row r="6" spans="1:7" x14ac:dyDescent="0.3">
      <c r="A6" t="s">
        <v>113</v>
      </c>
      <c r="B6" s="53">
        <v>40965.919999999998</v>
      </c>
      <c r="C6" s="53"/>
      <c r="D6" s="53">
        <f t="shared" si="0"/>
        <v>23257</v>
      </c>
      <c r="E6" s="53"/>
      <c r="F6" s="53">
        <v>64222.92</v>
      </c>
      <c r="G6" s="40"/>
    </row>
    <row r="7" spans="1:7" x14ac:dyDescent="0.3">
      <c r="A7" t="s">
        <v>114</v>
      </c>
      <c r="B7" s="53">
        <v>0</v>
      </c>
      <c r="C7" s="53"/>
      <c r="D7" s="53">
        <f t="shared" si="0"/>
        <v>0</v>
      </c>
      <c r="E7" s="53"/>
      <c r="F7" s="53">
        <v>0</v>
      </c>
      <c r="G7" s="40"/>
    </row>
    <row r="8" spans="1:7" x14ac:dyDescent="0.3">
      <c r="A8" t="s">
        <v>115</v>
      </c>
      <c r="B8" s="53">
        <v>108162.3</v>
      </c>
      <c r="C8" s="53"/>
      <c r="D8" s="53">
        <f t="shared" si="0"/>
        <v>2460.8699999999953</v>
      </c>
      <c r="E8" s="53"/>
      <c r="F8" s="53">
        <v>110623.17</v>
      </c>
      <c r="G8" s="40"/>
    </row>
    <row r="9" spans="1:7" x14ac:dyDescent="0.3">
      <c r="A9" t="s">
        <v>128</v>
      </c>
      <c r="B9" s="53">
        <v>448232</v>
      </c>
      <c r="C9" s="53"/>
      <c r="D9" s="53">
        <f t="shared" si="0"/>
        <v>9659.570000000007</v>
      </c>
      <c r="E9" s="53"/>
      <c r="F9" s="53">
        <v>457891.57</v>
      </c>
    </row>
    <row r="10" spans="1:7" ht="15" thickBot="1" x14ac:dyDescent="0.35">
      <c r="A10" s="41" t="s">
        <v>116</v>
      </c>
      <c r="B10" s="54">
        <v>10538.14</v>
      </c>
      <c r="C10" s="54"/>
      <c r="D10" s="54">
        <f t="shared" si="0"/>
        <v>34051.160000000003</v>
      </c>
      <c r="E10" s="54"/>
      <c r="F10" s="54">
        <v>44589.3</v>
      </c>
    </row>
    <row r="11" spans="1:7" x14ac:dyDescent="0.3">
      <c r="A11" s="39" t="s">
        <v>117</v>
      </c>
      <c r="B11" s="55">
        <f>SUM(B3:B10)</f>
        <v>999547.14</v>
      </c>
      <c r="C11" s="55"/>
      <c r="D11" s="55">
        <f t="shared" ref="D11:F11" si="1">SUM(D3:D10)</f>
        <v>-20035.430000000022</v>
      </c>
      <c r="E11" s="55"/>
      <c r="F11" s="55">
        <f t="shared" si="1"/>
        <v>979511.71</v>
      </c>
      <c r="G11" s="40"/>
    </row>
    <row r="12" spans="1:7" ht="15" thickBot="1" x14ac:dyDescent="0.35">
      <c r="A12" s="39"/>
      <c r="B12" s="55"/>
      <c r="C12" s="55"/>
      <c r="D12" s="55"/>
      <c r="E12" s="55"/>
      <c r="F12" s="55"/>
      <c r="G12" s="40"/>
    </row>
    <row r="13" spans="1:7" ht="15" thickBot="1" x14ac:dyDescent="0.35">
      <c r="A13" s="46" t="s">
        <v>118</v>
      </c>
      <c r="B13" s="56"/>
      <c r="C13" s="56"/>
      <c r="D13" s="56"/>
      <c r="E13" s="56"/>
      <c r="F13" s="57"/>
      <c r="G13" s="40"/>
    </row>
    <row r="14" spans="1:7" x14ac:dyDescent="0.3">
      <c r="A14" t="s">
        <v>98</v>
      </c>
      <c r="B14" s="53">
        <v>45109.82</v>
      </c>
      <c r="C14" s="53"/>
      <c r="D14" s="53">
        <f t="shared" ref="D14:D29" si="2">-B14+F14</f>
        <v>1874.8000000000029</v>
      </c>
      <c r="E14" s="53"/>
      <c r="F14" s="53">
        <v>46984.62</v>
      </c>
      <c r="G14" s="40"/>
    </row>
    <row r="15" spans="1:7" x14ac:dyDescent="0.3">
      <c r="A15" t="s">
        <v>84</v>
      </c>
      <c r="B15" s="53">
        <v>319411.33</v>
      </c>
      <c r="C15" s="53"/>
      <c r="D15" s="53">
        <f t="shared" si="2"/>
        <v>-67661.890000000014</v>
      </c>
      <c r="E15" s="53"/>
      <c r="F15" s="53">
        <v>251749.44</v>
      </c>
      <c r="G15" s="40"/>
    </row>
    <row r="16" spans="1:7" x14ac:dyDescent="0.3">
      <c r="A16" t="s">
        <v>119</v>
      </c>
      <c r="B16" s="53">
        <v>0</v>
      </c>
      <c r="C16" s="53"/>
      <c r="D16" s="53">
        <f t="shared" si="2"/>
        <v>0</v>
      </c>
      <c r="E16" s="53"/>
      <c r="F16" s="53">
        <v>0</v>
      </c>
      <c r="G16" s="40"/>
    </row>
    <row r="17" spans="1:7" x14ac:dyDescent="0.3">
      <c r="A17" t="s">
        <v>94</v>
      </c>
      <c r="B17" s="53">
        <v>40583.519999999997</v>
      </c>
      <c r="C17" s="53"/>
      <c r="D17" s="53">
        <f t="shared" si="2"/>
        <v>223</v>
      </c>
      <c r="E17" s="53"/>
      <c r="F17" s="53">
        <v>40806.519999999997</v>
      </c>
      <c r="G17" s="40"/>
    </row>
    <row r="18" spans="1:7" x14ac:dyDescent="0.3">
      <c r="A18" t="s">
        <v>86</v>
      </c>
      <c r="B18" s="53">
        <v>78070.070000000007</v>
      </c>
      <c r="C18" s="53"/>
      <c r="D18" s="53">
        <f t="shared" si="2"/>
        <v>-40469.400000000009</v>
      </c>
      <c r="E18" s="53"/>
      <c r="F18" s="53">
        <v>37600.67</v>
      </c>
      <c r="G18" s="40"/>
    </row>
    <row r="19" spans="1:7" x14ac:dyDescent="0.3">
      <c r="A19" t="s">
        <v>120</v>
      </c>
      <c r="B19" s="53">
        <v>170164.87</v>
      </c>
      <c r="C19" s="53"/>
      <c r="D19" s="53">
        <f t="shared" si="2"/>
        <v>-16284.329999999987</v>
      </c>
      <c r="E19" s="53"/>
      <c r="F19" s="53">
        <v>153880.54</v>
      </c>
      <c r="G19" s="40"/>
    </row>
    <row r="20" spans="1:7" x14ac:dyDescent="0.3">
      <c r="A20" t="s">
        <v>93</v>
      </c>
      <c r="B20" s="53">
        <v>125287.39</v>
      </c>
      <c r="C20" s="53"/>
      <c r="D20" s="53">
        <f t="shared" si="2"/>
        <v>-7076.2700000000041</v>
      </c>
      <c r="E20" s="53"/>
      <c r="F20" s="53">
        <v>118211.12</v>
      </c>
      <c r="G20" s="40"/>
    </row>
    <row r="21" spans="1:7" x14ac:dyDescent="0.3">
      <c r="A21" t="s">
        <v>85</v>
      </c>
      <c r="B21" s="53">
        <v>306138.15000000002</v>
      </c>
      <c r="C21" s="53"/>
      <c r="D21" s="53">
        <f t="shared" si="2"/>
        <v>-118397.05000000002</v>
      </c>
      <c r="E21" s="53"/>
      <c r="F21" s="53">
        <v>187741.1</v>
      </c>
      <c r="G21" s="40"/>
    </row>
    <row r="22" spans="1:7" x14ac:dyDescent="0.3">
      <c r="A22" t="s">
        <v>126</v>
      </c>
      <c r="B22" s="53">
        <v>0</v>
      </c>
      <c r="C22" s="53"/>
      <c r="D22" s="53">
        <f t="shared" si="2"/>
        <v>13621</v>
      </c>
      <c r="E22" s="53"/>
      <c r="F22" s="53">
        <v>13621</v>
      </c>
    </row>
    <row r="23" spans="1:7" x14ac:dyDescent="0.3">
      <c r="A23" t="s">
        <v>127</v>
      </c>
      <c r="B23" s="53">
        <v>0</v>
      </c>
      <c r="C23" s="53"/>
      <c r="D23" s="53">
        <f t="shared" si="2"/>
        <v>0</v>
      </c>
      <c r="E23" s="53"/>
      <c r="F23" s="53">
        <v>0</v>
      </c>
      <c r="G23" s="40"/>
    </row>
    <row r="24" spans="1:7" x14ac:dyDescent="0.3">
      <c r="A24" t="s">
        <v>105</v>
      </c>
      <c r="B24" s="53">
        <v>88806.75</v>
      </c>
      <c r="C24" s="53"/>
      <c r="D24" s="53">
        <f t="shared" si="2"/>
        <v>-51923.91</v>
      </c>
      <c r="E24" s="53"/>
      <c r="F24" s="53">
        <v>36882.839999999997</v>
      </c>
      <c r="G24" s="40"/>
    </row>
    <row r="25" spans="1:7" x14ac:dyDescent="0.3">
      <c r="A25" t="s">
        <v>97</v>
      </c>
      <c r="B25" s="53">
        <v>53920</v>
      </c>
      <c r="C25" s="53"/>
      <c r="D25" s="53">
        <f t="shared" si="2"/>
        <v>-27482</v>
      </c>
      <c r="E25" s="53"/>
      <c r="F25" s="53">
        <v>26438</v>
      </c>
      <c r="G25" s="40"/>
    </row>
    <row r="26" spans="1:7" x14ac:dyDescent="0.3">
      <c r="A26" t="s">
        <v>96</v>
      </c>
      <c r="B26" s="53">
        <v>35469</v>
      </c>
      <c r="C26" s="53"/>
      <c r="D26" s="53">
        <f t="shared" si="2"/>
        <v>1803</v>
      </c>
      <c r="E26" s="53"/>
      <c r="F26" s="53">
        <v>37272</v>
      </c>
      <c r="G26" s="40"/>
    </row>
    <row r="27" spans="1:7" x14ac:dyDescent="0.3">
      <c r="A27" t="s">
        <v>121</v>
      </c>
      <c r="B27" s="53">
        <v>16773.38</v>
      </c>
      <c r="C27" s="53"/>
      <c r="D27" s="53">
        <f t="shared" si="2"/>
        <v>-3250.2500000000018</v>
      </c>
      <c r="E27" s="53"/>
      <c r="F27" s="53">
        <v>13523.13</v>
      </c>
      <c r="G27" s="40"/>
    </row>
    <row r="28" spans="1:7" x14ac:dyDescent="0.3">
      <c r="A28" t="s">
        <v>95</v>
      </c>
      <c r="B28" s="53">
        <v>66333</v>
      </c>
      <c r="C28" s="53"/>
      <c r="D28" s="53">
        <f t="shared" si="2"/>
        <v>-15135.230000000003</v>
      </c>
      <c r="E28" s="53"/>
      <c r="F28" s="53">
        <v>51197.77</v>
      </c>
    </row>
    <row r="29" spans="1:7" ht="15" thickBot="1" x14ac:dyDescent="0.35">
      <c r="A29" s="41" t="s">
        <v>122</v>
      </c>
      <c r="B29" s="54">
        <v>250000</v>
      </c>
      <c r="C29" s="54"/>
      <c r="D29" s="54">
        <f t="shared" si="2"/>
        <v>90989.030000000028</v>
      </c>
      <c r="E29" s="54"/>
      <c r="F29" s="54">
        <v>340989.03</v>
      </c>
    </row>
    <row r="30" spans="1:7" x14ac:dyDescent="0.3">
      <c r="A30" s="39" t="s">
        <v>123</v>
      </c>
      <c r="B30" s="55">
        <f>SUM(B14:B29)</f>
        <v>1596067.28</v>
      </c>
      <c r="C30" s="55"/>
      <c r="D30" s="55">
        <f t="shared" ref="D30:F30" si="3">SUM(D14:D29)</f>
        <v>-239169.5</v>
      </c>
      <c r="E30" s="55"/>
      <c r="F30" s="55">
        <f t="shared" si="3"/>
        <v>1356897.78</v>
      </c>
    </row>
    <row r="31" spans="1:7" ht="15" thickBot="1" x14ac:dyDescent="0.35">
      <c r="A31" s="39"/>
      <c r="B31" s="58"/>
      <c r="C31" s="58"/>
      <c r="D31" s="58"/>
      <c r="E31" s="58"/>
      <c r="F31" s="58"/>
    </row>
    <row r="32" spans="1:7" ht="15" thickBot="1" x14ac:dyDescent="0.35">
      <c r="A32" s="46" t="s">
        <v>124</v>
      </c>
      <c r="B32" s="59">
        <f>B30+B11</f>
        <v>2595614.42</v>
      </c>
      <c r="C32" s="59"/>
      <c r="D32" s="59">
        <f t="shared" ref="D32:F32" si="4">D30+D11</f>
        <v>-259204.93000000002</v>
      </c>
      <c r="E32" s="59"/>
      <c r="F32" s="60">
        <f t="shared" si="4"/>
        <v>2336409.4900000002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Utfall 2023, Budget 2024</vt:lpstr>
      <vt:lpstr>Sammanställning Sektioner 2023</vt:lpstr>
      <vt:lpstr>Likviditet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Åsa Lagerstedt</dc:creator>
  <cp:lastModifiedBy>Mats Hörnell</cp:lastModifiedBy>
  <cp:lastPrinted>2022-03-25T09:12:31Z</cp:lastPrinted>
  <dcterms:created xsi:type="dcterms:W3CDTF">2016-02-09T17:13:00Z</dcterms:created>
  <dcterms:modified xsi:type="dcterms:W3CDTF">2024-03-06T12:02:49Z</dcterms:modified>
</cp:coreProperties>
</file>